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ca\Desktop\Università\Materiali\Quinto anno\Tesi\"/>
    </mc:Choice>
  </mc:AlternateContent>
  <bookViews>
    <workbookView xWindow="0" yWindow="0" windowWidth="28800" windowHeight="12330" activeTab="4"/>
  </bookViews>
  <sheets>
    <sheet name="Tipologia" sheetId="1" r:id="rId1"/>
    <sheet name="Foglio1" sheetId="4" r:id="rId2"/>
    <sheet name="Costi operativi diretti" sheetId="2" r:id="rId3"/>
    <sheet name="Costi opertivi indiretti " sheetId="3" r:id="rId4"/>
    <sheet name="Parametrico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55" i="5" l="1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E46" i="5"/>
  <c r="D46" i="5"/>
  <c r="C64" i="1"/>
  <c r="C65" i="1"/>
  <c r="C13" i="5"/>
  <c r="F5" i="5"/>
  <c r="G5" i="5" s="1"/>
  <c r="E70" i="1"/>
  <c r="D6" i="5"/>
  <c r="F6" i="5" s="1"/>
  <c r="D5" i="5"/>
  <c r="D4" i="5"/>
  <c r="F4" i="5" s="1"/>
  <c r="G4" i="5" s="1"/>
  <c r="H46" i="5" l="1"/>
  <c r="I46" i="5"/>
  <c r="G46" i="5"/>
  <c r="F46" i="5"/>
  <c r="F7" i="5"/>
  <c r="G6" i="5"/>
  <c r="G7" i="5" s="1"/>
  <c r="L4" i="5" s="1"/>
  <c r="D5" i="4"/>
  <c r="C5" i="4"/>
  <c r="D46" i="3" l="1"/>
  <c r="D31" i="3"/>
  <c r="D29" i="3"/>
  <c r="J46" i="5" l="1"/>
  <c r="D49" i="3"/>
  <c r="C9" i="3" s="1"/>
  <c r="O90" i="1"/>
  <c r="K46" i="5" l="1"/>
  <c r="E82" i="1"/>
  <c r="E81" i="1"/>
  <c r="E80" i="1"/>
  <c r="E79" i="1"/>
  <c r="E77" i="1"/>
  <c r="E78" i="1"/>
  <c r="E76" i="1"/>
  <c r="L46" i="5" l="1"/>
  <c r="G79" i="1"/>
  <c r="F79" i="1" s="1"/>
  <c r="H79" i="1" s="1"/>
  <c r="P79" i="1"/>
  <c r="N79" i="1"/>
  <c r="J79" i="1"/>
  <c r="L79" i="1"/>
  <c r="G80" i="1"/>
  <c r="F80" i="1" s="1"/>
  <c r="W35" i="1" s="1"/>
  <c r="L80" i="1"/>
  <c r="N80" i="1"/>
  <c r="J80" i="1"/>
  <c r="P80" i="1"/>
  <c r="N76" i="1"/>
  <c r="J76" i="1"/>
  <c r="L76" i="1"/>
  <c r="P76" i="1"/>
  <c r="G77" i="1"/>
  <c r="F77" i="1" s="1"/>
  <c r="H77" i="1" s="1"/>
  <c r="L77" i="1"/>
  <c r="P77" i="1"/>
  <c r="J77" i="1"/>
  <c r="N77" i="1"/>
  <c r="G81" i="1"/>
  <c r="F81" i="1" s="1"/>
  <c r="AG36" i="1" s="1"/>
  <c r="J81" i="1"/>
  <c r="L81" i="1"/>
  <c r="P81" i="1"/>
  <c r="N81" i="1"/>
  <c r="G78" i="1"/>
  <c r="F78" i="1" s="1"/>
  <c r="H78" i="1" s="1"/>
  <c r="J78" i="1"/>
  <c r="L78" i="1"/>
  <c r="P78" i="1"/>
  <c r="N78" i="1"/>
  <c r="G82" i="1"/>
  <c r="F82" i="1" s="1"/>
  <c r="H82" i="1" s="1"/>
  <c r="J82" i="1"/>
  <c r="L82" i="1"/>
  <c r="P82" i="1"/>
  <c r="N82" i="1"/>
  <c r="G76" i="1"/>
  <c r="F76" i="1" s="1"/>
  <c r="H76" i="1" s="1"/>
  <c r="E75" i="1"/>
  <c r="E74" i="1"/>
  <c r="P46" i="5" l="1"/>
  <c r="M46" i="5"/>
  <c r="L54" i="1"/>
  <c r="D33" i="1"/>
  <c r="D34" i="1"/>
  <c r="AQ33" i="1"/>
  <c r="J35" i="1"/>
  <c r="H80" i="1"/>
  <c r="Q36" i="1"/>
  <c r="W37" i="1"/>
  <c r="BA37" i="1"/>
  <c r="W34" i="1"/>
  <c r="AL33" i="1"/>
  <c r="AQ35" i="1"/>
  <c r="AG35" i="1"/>
  <c r="H81" i="1"/>
  <c r="G73" i="1"/>
  <c r="F73" i="1" s="1"/>
  <c r="H73" i="1" s="1"/>
  <c r="J73" i="1"/>
  <c r="L73" i="1"/>
  <c r="P73" i="1"/>
  <c r="N73" i="1"/>
  <c r="Q37" i="1"/>
  <c r="Q33" i="1"/>
  <c r="AB34" i="1"/>
  <c r="AV33" i="1"/>
  <c r="AV35" i="1"/>
  <c r="D35" i="1"/>
  <c r="AL36" i="1"/>
  <c r="G74" i="1"/>
  <c r="F74" i="1" s="1"/>
  <c r="H74" i="1" s="1"/>
  <c r="J74" i="1"/>
  <c r="L74" i="1"/>
  <c r="P74" i="1"/>
  <c r="N74" i="1"/>
  <c r="AB37" i="1"/>
  <c r="L50" i="1"/>
  <c r="AG34" i="1"/>
  <c r="BA33" i="1"/>
  <c r="Q35" i="1"/>
  <c r="AQ36" i="1"/>
  <c r="AB36" i="1"/>
  <c r="G75" i="1"/>
  <c r="F75" i="1" s="1"/>
  <c r="H75" i="1" s="1"/>
  <c r="J75" i="1"/>
  <c r="L75" i="1"/>
  <c r="P75" i="1"/>
  <c r="N75" i="1"/>
  <c r="J33" i="1"/>
  <c r="W33" i="1"/>
  <c r="X33" i="1" s="1"/>
  <c r="AB35" i="1"/>
  <c r="L53" i="1"/>
  <c r="D36" i="1"/>
  <c r="AG37" i="1"/>
  <c r="J34" i="1"/>
  <c r="AL37" i="1"/>
  <c r="L51" i="1"/>
  <c r="L52" i="1"/>
  <c r="J36" i="1"/>
  <c r="AQ37" i="1"/>
  <c r="AG33" i="1"/>
  <c r="BA35" i="1"/>
  <c r="W36" i="1"/>
  <c r="AV36" i="1"/>
  <c r="AQ34" i="1"/>
  <c r="AB33" i="1"/>
  <c r="BA36" i="1"/>
  <c r="D37" i="1"/>
  <c r="AV34" i="1"/>
  <c r="Q34" i="1"/>
  <c r="J37" i="1"/>
  <c r="AV37" i="1"/>
  <c r="BA34" i="1"/>
  <c r="AL34" i="1"/>
  <c r="AL35" i="1"/>
  <c r="Q32" i="1"/>
  <c r="BA32" i="1"/>
  <c r="J32" i="1"/>
  <c r="AB32" i="1"/>
  <c r="W32" i="1"/>
  <c r="X32" i="1" s="1"/>
  <c r="AV32" i="1"/>
  <c r="L49" i="1"/>
  <c r="AQ32" i="1"/>
  <c r="D32" i="1"/>
  <c r="AL32" i="1"/>
  <c r="AG32" i="1"/>
  <c r="E71" i="1"/>
  <c r="Q46" i="5" l="1"/>
  <c r="O46" i="5"/>
  <c r="N46" i="5"/>
  <c r="AB31" i="1"/>
  <c r="J31" i="1"/>
  <c r="G71" i="1"/>
  <c r="P71" i="1"/>
  <c r="N71" i="1"/>
  <c r="J71" i="1"/>
  <c r="L71" i="1"/>
  <c r="X31" i="1"/>
  <c r="AG31" i="1"/>
  <c r="AH31" i="1" s="1"/>
  <c r="AV31" i="1"/>
  <c r="AW31" i="1" s="1"/>
  <c r="Q31" i="1"/>
  <c r="J70" i="1"/>
  <c r="P70" i="1"/>
  <c r="P83" i="1" s="1"/>
  <c r="F91" i="2" s="1"/>
  <c r="F92" i="2" s="1"/>
  <c r="L70" i="1"/>
  <c r="N70" i="1"/>
  <c r="BA31" i="1"/>
  <c r="BB31" i="1" s="1"/>
  <c r="D31" i="1"/>
  <c r="G72" i="1"/>
  <c r="F72" i="1" s="1"/>
  <c r="H72" i="1" s="1"/>
  <c r="L72" i="1"/>
  <c r="P72" i="1"/>
  <c r="N72" i="1"/>
  <c r="J72" i="1"/>
  <c r="AL31" i="1"/>
  <c r="AM31" i="1" s="1"/>
  <c r="L48" i="1"/>
  <c r="M48" i="1" s="1"/>
  <c r="AQ31" i="1"/>
  <c r="AR31" i="1" s="1"/>
  <c r="BA28" i="1"/>
  <c r="BB28" i="1" s="1"/>
  <c r="L45" i="1"/>
  <c r="M45" i="1" s="1"/>
  <c r="Q28" i="1"/>
  <c r="R28" i="1" s="1"/>
  <c r="AV28" i="1"/>
  <c r="AW28" i="1" s="1"/>
  <c r="J28" i="1"/>
  <c r="AQ28" i="1"/>
  <c r="AR28" i="1" s="1"/>
  <c r="D28" i="1"/>
  <c r="AL28" i="1"/>
  <c r="AM28" i="1" s="1"/>
  <c r="AG28" i="1"/>
  <c r="AH28" i="1" s="1"/>
  <c r="W28" i="1"/>
  <c r="AB28" i="1"/>
  <c r="AC28" i="1" s="1"/>
  <c r="F71" i="1"/>
  <c r="H71" i="1" s="1"/>
  <c r="G70" i="1"/>
  <c r="F70" i="1" s="1"/>
  <c r="M54" i="1"/>
  <c r="M53" i="1"/>
  <c r="M52" i="1"/>
  <c r="M51" i="1"/>
  <c r="M50" i="1"/>
  <c r="M49" i="1"/>
  <c r="M47" i="1"/>
  <c r="M46" i="1"/>
  <c r="BB37" i="1"/>
  <c r="BB36" i="1"/>
  <c r="BB35" i="1"/>
  <c r="BB34" i="1"/>
  <c r="BB33" i="1"/>
  <c r="BB32" i="1"/>
  <c r="BB30" i="1"/>
  <c r="BB29" i="1"/>
  <c r="AW37" i="1"/>
  <c r="AW36" i="1"/>
  <c r="AW35" i="1"/>
  <c r="AW34" i="1"/>
  <c r="AW33" i="1"/>
  <c r="AW32" i="1"/>
  <c r="AW30" i="1"/>
  <c r="AW29" i="1"/>
  <c r="AR29" i="1"/>
  <c r="AR30" i="1"/>
  <c r="AR32" i="1"/>
  <c r="AR33" i="1"/>
  <c r="AR34" i="1"/>
  <c r="AR35" i="1"/>
  <c r="AR36" i="1"/>
  <c r="AR37" i="1"/>
  <c r="AM37" i="1"/>
  <c r="AM36" i="1"/>
  <c r="AM35" i="1"/>
  <c r="AM34" i="1"/>
  <c r="AM33" i="1"/>
  <c r="AM32" i="1"/>
  <c r="AM30" i="1"/>
  <c r="AM29" i="1"/>
  <c r="AH37" i="1"/>
  <c r="AH36" i="1"/>
  <c r="AH35" i="1"/>
  <c r="AH34" i="1"/>
  <c r="AH33" i="1"/>
  <c r="AH32" i="1"/>
  <c r="AH30" i="1"/>
  <c r="AH29" i="1"/>
  <c r="AC37" i="1"/>
  <c r="AC36" i="1"/>
  <c r="AC35" i="1"/>
  <c r="AC34" i="1"/>
  <c r="AC33" i="1"/>
  <c r="AC32" i="1"/>
  <c r="AC31" i="1"/>
  <c r="AC30" i="1"/>
  <c r="AC29" i="1"/>
  <c r="X37" i="1"/>
  <c r="X36" i="1"/>
  <c r="X35" i="1"/>
  <c r="X34" i="1"/>
  <c r="X30" i="1"/>
  <c r="X29" i="1"/>
  <c r="X28" i="1"/>
  <c r="R37" i="1"/>
  <c r="R36" i="1"/>
  <c r="R35" i="1"/>
  <c r="R34" i="1"/>
  <c r="R33" i="1"/>
  <c r="R32" i="1"/>
  <c r="R31" i="1"/>
  <c r="R30" i="1"/>
  <c r="R29" i="1"/>
  <c r="S46" i="5" l="1"/>
  <c r="R46" i="5"/>
  <c r="AQ27" i="1"/>
  <c r="AR27" i="1" s="1"/>
  <c r="AB27" i="1"/>
  <c r="AC27" i="1" s="1"/>
  <c r="N83" i="1"/>
  <c r="F80" i="2" s="1"/>
  <c r="F82" i="2" s="1"/>
  <c r="W27" i="1"/>
  <c r="X27" i="1" s="1"/>
  <c r="BA27" i="1"/>
  <c r="BB27" i="1" s="1"/>
  <c r="AG27" i="1"/>
  <c r="AH27" i="1" s="1"/>
  <c r="L83" i="1"/>
  <c r="F66" i="2" s="1"/>
  <c r="F68" i="2" s="1"/>
  <c r="Q27" i="1"/>
  <c r="R27" i="1" s="1"/>
  <c r="D27" i="1"/>
  <c r="AL27" i="1"/>
  <c r="AM27" i="1" s="1"/>
  <c r="J27" i="1"/>
  <c r="J83" i="1"/>
  <c r="F58" i="2" s="1"/>
  <c r="F60" i="2" s="1"/>
  <c r="L44" i="1"/>
  <c r="M44" i="1" s="1"/>
  <c r="AV27" i="1"/>
  <c r="AW27" i="1" s="1"/>
  <c r="BA25" i="1"/>
  <c r="BB25" i="1" s="1"/>
  <c r="H70" i="1"/>
  <c r="H83" i="1" s="1"/>
  <c r="I12" i="1" s="1"/>
  <c r="BA26" i="1"/>
  <c r="BB26" i="1" s="1"/>
  <c r="Q26" i="1"/>
  <c r="R26" i="1" s="1"/>
  <c r="D26" i="1"/>
  <c r="AV26" i="1"/>
  <c r="AW26" i="1" s="1"/>
  <c r="AQ26" i="1"/>
  <c r="AR26" i="1" s="1"/>
  <c r="L43" i="1"/>
  <c r="M43" i="1" s="1"/>
  <c r="W26" i="1"/>
  <c r="X26" i="1" s="1"/>
  <c r="AL26" i="1"/>
  <c r="AM26" i="1" s="1"/>
  <c r="J26" i="1"/>
  <c r="AG26" i="1"/>
  <c r="AH26" i="1" s="1"/>
  <c r="AB26" i="1"/>
  <c r="AC26" i="1" s="1"/>
  <c r="D25" i="1"/>
  <c r="AL25" i="1"/>
  <c r="AM25" i="1" s="1"/>
  <c r="J25" i="1"/>
  <c r="AQ25" i="1"/>
  <c r="AR25" i="1" s="1"/>
  <c r="AV25" i="1"/>
  <c r="AW25" i="1" s="1"/>
  <c r="L42" i="1"/>
  <c r="M42" i="1" s="1"/>
  <c r="W25" i="1"/>
  <c r="X25" i="1" s="1"/>
  <c r="AB25" i="1"/>
  <c r="AC25" i="1" s="1"/>
  <c r="AG25" i="1"/>
  <c r="AH25" i="1" s="1"/>
  <c r="Q25" i="1"/>
  <c r="R25" i="1" s="1"/>
  <c r="K36" i="1"/>
  <c r="E36" i="1"/>
  <c r="C45" i="1"/>
  <c r="F53" i="1" s="1"/>
  <c r="F75" i="2"/>
  <c r="BB38" i="1" l="1"/>
  <c r="D21" i="3"/>
  <c r="D24" i="3" s="1"/>
  <c r="F105" i="2"/>
  <c r="F98" i="2"/>
  <c r="F97" i="2" s="1"/>
  <c r="F27" i="2"/>
  <c r="F35" i="2"/>
  <c r="F44" i="2"/>
  <c r="X38" i="1"/>
  <c r="AH38" i="1"/>
  <c r="AC38" i="1"/>
  <c r="AM38" i="1"/>
  <c r="R38" i="1"/>
  <c r="M55" i="1"/>
  <c r="AW38" i="1"/>
  <c r="AR38" i="1"/>
  <c r="F52" i="1"/>
  <c r="F52" i="2"/>
  <c r="D39" i="3" s="1"/>
  <c r="D40" i="3" s="1"/>
  <c r="D33" i="3"/>
  <c r="C7" i="3" s="1"/>
  <c r="E6" i="2" l="1"/>
  <c r="C8" i="3" l="1"/>
  <c r="E31" i="1" l="1"/>
  <c r="E32" i="1"/>
  <c r="K31" i="1"/>
  <c r="K26" i="1"/>
  <c r="K27" i="1"/>
  <c r="K28" i="1"/>
  <c r="K29" i="1"/>
  <c r="K30" i="1"/>
  <c r="K32" i="1"/>
  <c r="K33" i="1"/>
  <c r="K34" i="1"/>
  <c r="K35" i="1"/>
  <c r="K37" i="1"/>
  <c r="K25" i="1"/>
  <c r="E26" i="1"/>
  <c r="E27" i="1"/>
  <c r="E28" i="1"/>
  <c r="E29" i="1"/>
  <c r="E30" i="1"/>
  <c r="E33" i="1"/>
  <c r="E34" i="1"/>
  <c r="E35" i="1"/>
  <c r="E37" i="1"/>
  <c r="E25" i="1"/>
  <c r="E38" i="1" l="1"/>
  <c r="K38" i="1"/>
  <c r="E7" i="2" l="1"/>
  <c r="E8" i="2" l="1"/>
  <c r="F45" i="2"/>
  <c r="F104" i="2"/>
  <c r="E9" i="2" s="1"/>
  <c r="F29" i="2"/>
  <c r="F36" i="2"/>
  <c r="F38" i="2" s="1"/>
  <c r="C6" i="3"/>
  <c r="C10" i="3" s="1"/>
  <c r="J8" i="1" l="1"/>
  <c r="C11" i="4"/>
  <c r="F20" i="2"/>
  <c r="E5" i="2" s="1"/>
  <c r="E10" i="2" s="1"/>
  <c r="C10" i="4" l="1"/>
  <c r="L5" i="5"/>
  <c r="L6" i="5" s="1"/>
  <c r="J7" i="1"/>
  <c r="J9" i="1" s="1"/>
  <c r="C4" i="4"/>
  <c r="C6" i="4" s="1"/>
  <c r="D4" i="4"/>
  <c r="D6" i="4" s="1"/>
</calcChain>
</file>

<file path=xl/comments1.xml><?xml version="1.0" encoding="utf-8"?>
<comments xmlns="http://schemas.openxmlformats.org/spreadsheetml/2006/main">
  <authors>
    <author>Luca</author>
  </authors>
  <commentList>
    <comment ref="O72" authorId="0" shapeId="0">
      <text>
        <r>
          <rPr>
            <b/>
            <sz val="9"/>
            <color indexed="81"/>
            <rFont val="Tahoma"/>
            <family val="2"/>
          </rPr>
          <t>Luca:</t>
        </r>
        <r>
          <rPr>
            <sz val="9"/>
            <color indexed="81"/>
            <rFont val="Tahoma"/>
            <family val="2"/>
          </rPr>
          <t xml:space="preserve">
I consumi dei charger sono valutati nella tabella in basso in base al numero di ricaricheda effettuare</t>
        </r>
      </text>
    </comment>
    <comment ref="O73" authorId="0" shapeId="0">
      <text>
        <r>
          <rPr>
            <b/>
            <sz val="9"/>
            <color indexed="81"/>
            <rFont val="Tahoma"/>
            <family val="2"/>
          </rPr>
          <t>Luca:</t>
        </r>
        <r>
          <rPr>
            <sz val="9"/>
            <color indexed="81"/>
            <rFont val="Tahoma"/>
            <family val="2"/>
          </rPr>
          <t xml:space="preserve">
I consumi dei charger sono valutati nella tabella in basso in base al numero di ricaricheda effettuare
</t>
        </r>
      </text>
    </comment>
  </commentList>
</comments>
</file>

<file path=xl/comments2.xml><?xml version="1.0" encoding="utf-8"?>
<comments xmlns="http://schemas.openxmlformats.org/spreadsheetml/2006/main">
  <authors>
    <author>Luca</author>
  </authors>
  <commentList>
    <comment ref="C3" authorId="0" shapeId="0">
      <text>
        <r>
          <rPr>
            <b/>
            <sz val="9"/>
            <color indexed="81"/>
            <rFont val="Tahoma"/>
            <charset val="1"/>
          </rPr>
          <t>Luca:</t>
        </r>
        <r>
          <rPr>
            <sz val="9"/>
            <color indexed="81"/>
            <rFont val="Tahoma"/>
            <charset val="1"/>
          </rPr>
          <t xml:space="preserve">
Non sono valutati i costi diretti relativi agli eVTOL</t>
        </r>
      </text>
    </comment>
    <comment ref="D3" authorId="0" shapeId="0">
      <text>
        <r>
          <rPr>
            <b/>
            <sz val="9"/>
            <color indexed="81"/>
            <rFont val="Tahoma"/>
            <charset val="1"/>
          </rPr>
          <t>Luca:</t>
        </r>
        <r>
          <rPr>
            <sz val="9"/>
            <color indexed="81"/>
            <rFont val="Tahoma"/>
            <charset val="1"/>
          </rPr>
          <t xml:space="preserve">
Non sono valutati i costi diretti relativi agli eVTOL</t>
        </r>
      </text>
    </comment>
  </commentList>
</comments>
</file>

<file path=xl/comments3.xml><?xml version="1.0" encoding="utf-8"?>
<comments xmlns="http://schemas.openxmlformats.org/spreadsheetml/2006/main">
  <authors>
    <author>Luca</author>
  </authors>
  <commentList>
    <comment ref="D3" authorId="0" shapeId="0">
      <text>
        <r>
          <rPr>
            <b/>
            <sz val="9"/>
            <color indexed="81"/>
            <rFont val="Tahoma"/>
            <charset val="1"/>
          </rPr>
          <t>Luca:</t>
        </r>
        <r>
          <rPr>
            <sz val="9"/>
            <color indexed="81"/>
            <rFont val="Tahoma"/>
            <charset val="1"/>
          </rPr>
          <t xml:space="preserve">
Decolli per ogni ora di operatività massima
</t>
        </r>
      </text>
    </comment>
  </commentList>
</comments>
</file>

<file path=xl/sharedStrings.xml><?xml version="1.0" encoding="utf-8"?>
<sst xmlns="http://schemas.openxmlformats.org/spreadsheetml/2006/main" count="504" uniqueCount="244">
  <si>
    <t>VERTIPAD</t>
  </si>
  <si>
    <t>sistema antincendio</t>
  </si>
  <si>
    <t>faro</t>
  </si>
  <si>
    <t>charger normale</t>
  </si>
  <si>
    <t xml:space="preserve">supercharger </t>
  </si>
  <si>
    <t>pad decollo/atterraggio</t>
  </si>
  <si>
    <t xml:space="preserve">pad parcheggio </t>
  </si>
  <si>
    <t>Componenti</t>
  </si>
  <si>
    <t>Numero</t>
  </si>
  <si>
    <t>Costo</t>
  </si>
  <si>
    <t xml:space="preserve">Totale </t>
  </si>
  <si>
    <t>Costo tot</t>
  </si>
  <si>
    <t xml:space="preserve">sistema di sicurezza </t>
  </si>
  <si>
    <t>hangar (60 m2)</t>
  </si>
  <si>
    <t>impianto idrogeno liquido (200l)</t>
  </si>
  <si>
    <t>hangar (60m2)</t>
  </si>
  <si>
    <t>VERTIHUB</t>
  </si>
  <si>
    <t>VERIBASE</t>
  </si>
  <si>
    <t>Type</t>
  </si>
  <si>
    <t>Voce</t>
  </si>
  <si>
    <t>Totale</t>
  </si>
  <si>
    <t>TOTALE</t>
  </si>
  <si>
    <t xml:space="preserve">COSTI SUL CAPITALE </t>
  </si>
  <si>
    <t>DOCcap=DOCdep+DOCint+DOCins</t>
  </si>
  <si>
    <t>Descrizione</t>
  </si>
  <si>
    <t>Valore</t>
  </si>
  <si>
    <t>res</t>
  </si>
  <si>
    <t>residuo [%] valore di mercato a fine deprezzamento</t>
  </si>
  <si>
    <t>AC</t>
  </si>
  <si>
    <t>Pdep</t>
  </si>
  <si>
    <t>periodo di deprezzamneto [anni]</t>
  </si>
  <si>
    <t>RISULTATO</t>
  </si>
  <si>
    <t>DOCint=(IR*(PV-FV))/(1-(1+IR)^(-Pint))-PV/Pint</t>
  </si>
  <si>
    <t xml:space="preserve">Valore </t>
  </si>
  <si>
    <t>IR</t>
  </si>
  <si>
    <t>PV</t>
  </si>
  <si>
    <t>FV</t>
  </si>
  <si>
    <t>valore del velivolo al termine del perdiodo di interessi [$]</t>
  </si>
  <si>
    <t>Pint</t>
  </si>
  <si>
    <t>periodo per in pagamento degli interessi [anni]</t>
  </si>
  <si>
    <t xml:space="preserve">RISULTATO </t>
  </si>
  <si>
    <t>DOCins=0.01*AC</t>
  </si>
  <si>
    <t>DOCdep=(1-res)* AC/Pdep</t>
  </si>
  <si>
    <t>prezzo del vertiporto [$]</t>
  </si>
  <si>
    <t>VC</t>
  </si>
  <si>
    <t>interesse annnuo sul valore del vertiporto [%]</t>
  </si>
  <si>
    <t>COSTI PER L'EQUIPAGGIO</t>
  </si>
  <si>
    <t>numero controllori traffico aereo</t>
  </si>
  <si>
    <t>paga annuale [$/h]</t>
  </si>
  <si>
    <t xml:space="preserve">Lrcontrol </t>
  </si>
  <si>
    <t>ncontrol</t>
  </si>
  <si>
    <t>DOCcontrolcrew=LRcontrol*ncontrol</t>
  </si>
  <si>
    <t>DOChosesscrew=LRhosess*nhosess</t>
  </si>
  <si>
    <t>nhosess</t>
  </si>
  <si>
    <t>Lrhosess</t>
  </si>
  <si>
    <t>numero hosess di terra</t>
  </si>
  <si>
    <t>DOCmaintainercrew=LRmaintainer*nmaintainer</t>
  </si>
  <si>
    <t>nmaintainer</t>
  </si>
  <si>
    <t>Lrmaintainer</t>
  </si>
  <si>
    <t xml:space="preserve">numero manutentori di terra </t>
  </si>
  <si>
    <t>costo totale salari personale</t>
  </si>
  <si>
    <t>Eprice</t>
  </si>
  <si>
    <t>prezzo di mercato energia elettrica [$/kWh]</t>
  </si>
  <si>
    <t>DOCelettricity=Eprice*Etot/effchargeE</t>
  </si>
  <si>
    <t>Etot</t>
  </si>
  <si>
    <t>TASSE</t>
  </si>
  <si>
    <t>MANUTENZIONE</t>
  </si>
  <si>
    <t>Costo vertiporto [$]</t>
  </si>
  <si>
    <t>DOCmain=VC*0.05</t>
  </si>
  <si>
    <t>nfinance</t>
  </si>
  <si>
    <t>Lfinance</t>
  </si>
  <si>
    <t>nop</t>
  </si>
  <si>
    <t>Lop</t>
  </si>
  <si>
    <t xml:space="preserve">numero personale responsabile finanze </t>
  </si>
  <si>
    <t xml:space="preserve">numero personale manager operativo </t>
  </si>
  <si>
    <t>IOCcrewtrainig=0.1*DOCcrew</t>
  </si>
  <si>
    <t>DOCcrew</t>
  </si>
  <si>
    <t>DOCcrew=DOCcontrolcrew+DOChostesscrew+DOCmaintainercrew+DOCamm</t>
  </si>
  <si>
    <t>PUBBLICITÀ</t>
  </si>
  <si>
    <t>FORMAZIONE</t>
  </si>
  <si>
    <t xml:space="preserve">AMMINISTRAZIONE </t>
  </si>
  <si>
    <t>COSTI OPERATVI TOT</t>
  </si>
  <si>
    <t>DOC</t>
  </si>
  <si>
    <t>IOC</t>
  </si>
  <si>
    <t>VERTIPORT</t>
  </si>
  <si>
    <t>Finance manager</t>
  </si>
  <si>
    <t>Operational manager</t>
  </si>
  <si>
    <t>IOCamm=LRfianace*nfinance+LRop*nop</t>
  </si>
  <si>
    <t xml:space="preserve">TYPE OF CITY </t>
  </si>
  <si>
    <t xml:space="preserve">Large </t>
  </si>
  <si>
    <t>Density</t>
  </si>
  <si>
    <t xml:space="preserve">Medium </t>
  </si>
  <si>
    <t>Vertipad</t>
  </si>
  <si>
    <t>Vertibase</t>
  </si>
  <si>
    <t>Vertihub</t>
  </si>
  <si>
    <t>Total operative cost</t>
  </si>
  <si>
    <t xml:space="preserve">MCKINSEY MODEL </t>
  </si>
  <si>
    <t>3-5</t>
  </si>
  <si>
    <t>5-10</t>
  </si>
  <si>
    <t>10-15</t>
  </si>
  <si>
    <t>2-3</t>
  </si>
  <si>
    <t>5</t>
  </si>
  <si>
    <t>110-130</t>
  </si>
  <si>
    <t>35-50</t>
  </si>
  <si>
    <t>Total operative cost [$million]</t>
  </si>
  <si>
    <t xml:space="preserve">Type </t>
  </si>
  <si>
    <t>SUMMARY</t>
  </si>
  <si>
    <t>Operative cost</t>
  </si>
  <si>
    <t>DOCseccrew=Lrsecurity*nsecurity</t>
  </si>
  <si>
    <t>numero addetti alla sicurezza</t>
  </si>
  <si>
    <t>5G antenna</t>
  </si>
  <si>
    <t>Slope</t>
  </si>
  <si>
    <t>Torino</t>
  </si>
  <si>
    <t>Vertiport</t>
  </si>
  <si>
    <t>Vertistation</t>
  </si>
  <si>
    <t>VERTISTATION</t>
  </si>
  <si>
    <t>VERTIHUB (3pads)</t>
  </si>
  <si>
    <t>VERTIHUB (4pads)</t>
  </si>
  <si>
    <t>VERTIHUB (5pads)</t>
  </si>
  <si>
    <t>VERTIHUB (6pads)</t>
  </si>
  <si>
    <t xml:space="preserve"> </t>
  </si>
  <si>
    <t>VERTIHUB (7pads)</t>
  </si>
  <si>
    <t>VERTIHUB (8pads)</t>
  </si>
  <si>
    <t>VERTIHUB (9pads)</t>
  </si>
  <si>
    <t>VERTIHUB (10pads)</t>
  </si>
  <si>
    <t>3 pad</t>
  </si>
  <si>
    <t>4 pad</t>
  </si>
  <si>
    <t>5 pad</t>
  </si>
  <si>
    <t>6 pad</t>
  </si>
  <si>
    <t xml:space="preserve">7 pad </t>
  </si>
  <si>
    <t>8 pad</t>
  </si>
  <si>
    <t>9 pad</t>
  </si>
  <si>
    <t>10 pad</t>
  </si>
  <si>
    <t>1 pad</t>
  </si>
  <si>
    <t>2 pad</t>
  </si>
  <si>
    <t>VERTIPORT (1pad)</t>
  </si>
  <si>
    <t>VERTIPORT (2pad)</t>
  </si>
  <si>
    <t>Costo di prima produzione del pad ($)</t>
  </si>
  <si>
    <t>Costo medio</t>
  </si>
  <si>
    <t>Costo dell'ultima unità</t>
  </si>
  <si>
    <t>Pad di decollo/atterraggio</t>
  </si>
  <si>
    <t>Pad di parcheggio</t>
  </si>
  <si>
    <t>Normal Charger</t>
  </si>
  <si>
    <t>Fast Charger</t>
  </si>
  <si>
    <t>Hangar</t>
  </si>
  <si>
    <t>Impianto di sicurezza</t>
  </si>
  <si>
    <t>Impianti totali</t>
  </si>
  <si>
    <t>Impianto Antincendio</t>
  </si>
  <si>
    <t>Area Passeggeri</t>
  </si>
  <si>
    <t>Faro</t>
  </si>
  <si>
    <t>Antenna 5G</t>
  </si>
  <si>
    <t>Parcheggio Auto</t>
  </si>
  <si>
    <t>Cabina di Controllo (piccola)</t>
  </si>
  <si>
    <t>Cabina di Controllo (grande)</t>
  </si>
  <si>
    <t>parcheggio interrato (50 auto)</t>
  </si>
  <si>
    <t>Area passeggeri  (30 posti)</t>
  </si>
  <si>
    <t>Total production Cost</t>
  </si>
  <si>
    <t xml:space="preserve">cabina di controllo </t>
  </si>
  <si>
    <t xml:space="preserve">cabina di controllo  </t>
  </si>
  <si>
    <t>cabina di controllo</t>
  </si>
  <si>
    <t>valore attuale del vertiporto [$]</t>
  </si>
  <si>
    <t>Controllori del traffico</t>
  </si>
  <si>
    <t>Controllori del traffico totali</t>
  </si>
  <si>
    <t>Assistenti di terra</t>
  </si>
  <si>
    <t>Assistenti di terra totali</t>
  </si>
  <si>
    <t>Addetti alla sicurezza</t>
  </si>
  <si>
    <t>Addetti alla sicurezza totali</t>
  </si>
  <si>
    <t>paga annuale lorda [$/h]</t>
  </si>
  <si>
    <t>Consumi energetci kWh/yr</t>
  </si>
  <si>
    <t>Capacità Volocity</t>
  </si>
  <si>
    <t>Decolli annui</t>
  </si>
  <si>
    <t>Consumo energetico Charger</t>
  </si>
  <si>
    <t>Rendimento di ricarica</t>
  </si>
  <si>
    <t>Consumi energetici annuali totali kWh/yr</t>
  </si>
  <si>
    <t>quantità di energia elettrica annua vertiporto [kWh/yr]</t>
  </si>
  <si>
    <t>Costi di produzione</t>
  </si>
  <si>
    <t>DOP</t>
  </si>
  <si>
    <t>DOCtax=VC*0.04</t>
  </si>
  <si>
    <t>IOCpubb=0.05*VC+Lr*nr</t>
  </si>
  <si>
    <t>Lr</t>
  </si>
  <si>
    <t>nr</t>
  </si>
  <si>
    <t>Stipendio impiegati nella pubblicità</t>
  </si>
  <si>
    <t>numero di impiegati nella pubblicità</t>
  </si>
  <si>
    <t>ADMINISTRATIVE STAFF</t>
  </si>
  <si>
    <t>MERCATO</t>
  </si>
  <si>
    <t>Nseller</t>
  </si>
  <si>
    <t>Lrseller</t>
  </si>
  <si>
    <t xml:space="preserve">software </t>
  </si>
  <si>
    <t>numero di addetti alle vendite</t>
  </si>
  <si>
    <t>Stipendio annuo lordo</t>
  </si>
  <si>
    <t>Costo del software</t>
  </si>
  <si>
    <t>Addetti alle vendite</t>
  </si>
  <si>
    <t>IOC_mark=n_seller∙Lr_seller+Software_cost∙n_seller</t>
  </si>
  <si>
    <t>Costi di produzione totali</t>
  </si>
  <si>
    <t>Cost</t>
  </si>
  <si>
    <t>Item</t>
  </si>
  <si>
    <t>Capital</t>
  </si>
  <si>
    <t>Crew</t>
  </si>
  <si>
    <t xml:space="preserve">Electricity </t>
  </si>
  <si>
    <t>Tax</t>
  </si>
  <si>
    <t>Maintenance</t>
  </si>
  <si>
    <t>TOTAL</t>
  </si>
  <si>
    <t>DIRECT OPERATIVE COST</t>
  </si>
  <si>
    <t>INDIRECT OPERATIVE COST</t>
  </si>
  <si>
    <t>Advertisement</t>
  </si>
  <si>
    <t>Administration</t>
  </si>
  <si>
    <t>Training</t>
  </si>
  <si>
    <t>Merket</t>
  </si>
  <si>
    <t>Component</t>
  </si>
  <si>
    <t>TO/Landing Pad</t>
  </si>
  <si>
    <t>Parking Pad</t>
  </si>
  <si>
    <t>charger</t>
  </si>
  <si>
    <t>liquid hydrogen system</t>
  </si>
  <si>
    <t>Security system</t>
  </si>
  <si>
    <t>control room</t>
  </si>
  <si>
    <t>Passenger area (30 seats)</t>
  </si>
  <si>
    <t>lighthouse</t>
  </si>
  <si>
    <t>underground car park (50 cars)</t>
  </si>
  <si>
    <t>fire-fighting system</t>
  </si>
  <si>
    <t>DECOLLI ANNUI</t>
  </si>
  <si>
    <t>COSTI OPERATIVI [$/YEAR]</t>
  </si>
  <si>
    <t>paga annuale lorda [$/yr]</t>
  </si>
  <si>
    <t>Incluso il costo di ricarica eVTOL</t>
  </si>
  <si>
    <t>Escluso il costo di ricarica eVTOL</t>
  </si>
  <si>
    <t>Tassa per ogni Decollo/Atterraggio [$]</t>
  </si>
  <si>
    <t>minuti/decollo</t>
  </si>
  <si>
    <t>decolli/ora</t>
  </si>
  <si>
    <t>OOMGE</t>
  </si>
  <si>
    <t>decolli/day</t>
  </si>
  <si>
    <t>decolly/yr</t>
  </si>
  <si>
    <t xml:space="preserve">Costo del servizio </t>
  </si>
  <si>
    <t>entrate</t>
  </si>
  <si>
    <t>uscite</t>
  </si>
  <si>
    <t>Posti eVTOL</t>
  </si>
  <si>
    <t>Costo operativo eVTOL $/h</t>
  </si>
  <si>
    <t>Costo operativo eVTOL $/tratta</t>
  </si>
  <si>
    <t>Profitto/yr</t>
  </si>
  <si>
    <t>Numero vertistation</t>
  </si>
  <si>
    <t>Numero vertiport</t>
  </si>
  <si>
    <t>Numero vertihub</t>
  </si>
  <si>
    <t>OOMGE vertiport</t>
  </si>
  <si>
    <t>OOMGE vertihub</t>
  </si>
  <si>
    <t>Revenues</t>
  </si>
  <si>
    <t>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</si>
</sst>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[$$-45C]#,##0"/>
    <numFmt numFmtId="165" formatCode="_-[$$-45C]* #,##0_-;\-[$$-45C]* #,##0_-;_-[$$-45C]* &quot;-&quot;_-;_-@_-"/>
    <numFmt numFmtId="166" formatCode="_-[$$-409]* #,##0.00_ ;_-[$$-409]* \-#,##0.00\ ;_-[$$-409]* &quot;-&quot;??_ ;_-@_ "/>
    <numFmt numFmtId="167" formatCode="#,##0.00_ ;\-#,##0.00\ "/>
    <numFmt numFmtId="168" formatCode="[$$-409]#,##0.00"/>
    <numFmt numFmtId="169" formatCode="[$$-409]#,##0"/>
    <numFmt numFmtId="170" formatCode="[$$-540A]#,##0"/>
  </numFmts>
  <fonts count="11" x14ac:knownFonts="1"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49E"/>
        <bgColor indexed="64"/>
      </patternFill>
    </fill>
    <fill>
      <patternFill patternType="solid">
        <fgColor rgb="FFBBA3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49E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4" borderId="0" applyNumberFormat="0" applyBorder="0" applyAlignment="0" applyProtection="0"/>
  </cellStyleXfs>
  <cellXfs count="125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164" fontId="0" fillId="2" borderId="1" xfId="0" applyNumberFormat="1" applyFill="1" applyBorder="1"/>
    <xf numFmtId="164" fontId="0" fillId="3" borderId="1" xfId="0" applyNumberFormat="1" applyFill="1" applyBorder="1"/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3" fillId="0" borderId="1" xfId="0" applyFont="1" applyBorder="1"/>
    <xf numFmtId="0" fontId="0" fillId="5" borderId="1" xfId="0" applyFill="1" applyBorder="1"/>
    <xf numFmtId="164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0" fontId="0" fillId="7" borderId="1" xfId="0" applyFill="1" applyBorder="1"/>
    <xf numFmtId="164" fontId="0" fillId="7" borderId="1" xfId="0" applyNumberFormat="1" applyFill="1" applyBorder="1"/>
    <xf numFmtId="0" fontId="0" fillId="8" borderId="1" xfId="0" applyFill="1" applyBorder="1"/>
    <xf numFmtId="164" fontId="0" fillId="8" borderId="1" xfId="0" applyNumberFormat="1" applyFill="1" applyBorder="1"/>
    <xf numFmtId="164" fontId="0" fillId="9" borderId="1" xfId="0" applyNumberFormat="1" applyFill="1" applyBorder="1"/>
    <xf numFmtId="0" fontId="0" fillId="10" borderId="1" xfId="0" applyFill="1" applyBorder="1"/>
    <xf numFmtId="164" fontId="0" fillId="10" borderId="1" xfId="0" applyNumberFormat="1" applyFill="1" applyBorder="1"/>
    <xf numFmtId="0" fontId="3" fillId="2" borderId="1" xfId="0" applyFont="1" applyFill="1" applyBorder="1"/>
    <xf numFmtId="0" fontId="0" fillId="2" borderId="6" xfId="0" applyFill="1" applyBorder="1"/>
    <xf numFmtId="164" fontId="0" fillId="2" borderId="6" xfId="0" applyNumberFormat="1" applyFill="1" applyBorder="1"/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0" fontId="3" fillId="11" borderId="1" xfId="0" applyFont="1" applyFill="1" applyBorder="1"/>
    <xf numFmtId="0" fontId="0" fillId="11" borderId="1" xfId="0" applyFill="1" applyBorder="1"/>
    <xf numFmtId="164" fontId="0" fillId="11" borderId="1" xfId="0" applyNumberFormat="1" applyFill="1" applyBorder="1"/>
    <xf numFmtId="0" fontId="0" fillId="11" borderId="5" xfId="0" applyFill="1" applyBorder="1"/>
    <xf numFmtId="0" fontId="0" fillId="11" borderId="6" xfId="0" applyFill="1" applyBorder="1"/>
    <xf numFmtId="164" fontId="0" fillId="11" borderId="6" xfId="0" applyNumberFormat="1" applyFill="1" applyBorder="1"/>
    <xf numFmtId="0" fontId="0" fillId="11" borderId="7" xfId="0" applyFill="1" applyBorder="1"/>
    <xf numFmtId="0" fontId="0" fillId="0" borderId="8" xfId="0" applyBorder="1"/>
    <xf numFmtId="0" fontId="5" fillId="12" borderId="6" xfId="0" applyFont="1" applyFill="1" applyBorder="1"/>
    <xf numFmtId="0" fontId="5" fillId="12" borderId="7" xfId="0" applyFont="1" applyFill="1" applyBorder="1"/>
    <xf numFmtId="0" fontId="4" fillId="12" borderId="6" xfId="0" applyFont="1" applyFill="1" applyBorder="1"/>
    <xf numFmtId="0" fontId="4" fillId="12" borderId="7" xfId="0" applyFont="1" applyFill="1" applyBorder="1" applyAlignment="1">
      <alignment horizontal="left"/>
    </xf>
    <xf numFmtId="0" fontId="4" fillId="12" borderId="7" xfId="0" applyFont="1" applyFill="1" applyBorder="1"/>
    <xf numFmtId="0" fontId="4" fillId="0" borderId="0" xfId="0" applyFont="1"/>
    <xf numFmtId="164" fontId="4" fillId="12" borderId="7" xfId="0" applyNumberFormat="1" applyFont="1" applyFill="1" applyBorder="1"/>
    <xf numFmtId="164" fontId="0" fillId="0" borderId="0" xfId="0" applyNumberFormat="1"/>
    <xf numFmtId="164" fontId="0" fillId="0" borderId="1" xfId="0" applyNumberFormat="1" applyBorder="1"/>
    <xf numFmtId="164" fontId="2" fillId="11" borderId="1" xfId="1" applyNumberFormat="1" applyFill="1" applyBorder="1"/>
    <xf numFmtId="164" fontId="2" fillId="7" borderId="1" xfId="1" applyNumberFormat="1" applyFill="1" applyBorder="1"/>
    <xf numFmtId="0" fontId="3" fillId="7" borderId="1" xfId="0" applyFont="1" applyFill="1" applyBorder="1"/>
    <xf numFmtId="165" fontId="0" fillId="7" borderId="1" xfId="0" applyNumberFormat="1" applyFill="1" applyBorder="1"/>
    <xf numFmtId="0" fontId="0" fillId="7" borderId="6" xfId="0" applyFill="1" applyBorder="1"/>
    <xf numFmtId="164" fontId="0" fillId="7" borderId="6" xfId="0" applyNumberFormat="1" applyFill="1" applyBorder="1"/>
    <xf numFmtId="164" fontId="2" fillId="8" borderId="1" xfId="1" applyNumberFormat="1" applyFill="1" applyBorder="1"/>
    <xf numFmtId="0" fontId="3" fillId="8" borderId="1" xfId="0" applyFont="1" applyFill="1" applyBorder="1"/>
    <xf numFmtId="0" fontId="0" fillId="8" borderId="6" xfId="0" applyFill="1" applyBorder="1"/>
    <xf numFmtId="164" fontId="0" fillId="8" borderId="6" xfId="0" applyNumberFormat="1" applyFill="1" applyBorder="1"/>
    <xf numFmtId="164" fontId="0" fillId="0" borderId="0" xfId="0" applyNumberFormat="1" applyAlignment="1">
      <alignment horizontal="right"/>
    </xf>
    <xf numFmtId="9" fontId="0" fillId="0" borderId="0" xfId="0" applyNumberFormat="1"/>
    <xf numFmtId="0" fontId="3" fillId="10" borderId="1" xfId="0" applyFont="1" applyFill="1" applyBorder="1"/>
    <xf numFmtId="49" fontId="3" fillId="0" borderId="0" xfId="0" applyNumberFormat="1" applyFont="1" applyAlignment="1">
      <alignment horizontal="center"/>
    </xf>
    <xf numFmtId="0" fontId="0" fillId="13" borderId="1" xfId="0" applyFill="1" applyBorder="1"/>
    <xf numFmtId="49" fontId="0" fillId="13" borderId="1" xfId="0" applyNumberFormat="1" applyFill="1" applyBorder="1"/>
    <xf numFmtId="0" fontId="0" fillId="14" borderId="1" xfId="0" applyFill="1" applyBorder="1"/>
    <xf numFmtId="0" fontId="3" fillId="14" borderId="1" xfId="0" applyFont="1" applyFill="1" applyBorder="1"/>
    <xf numFmtId="164" fontId="0" fillId="14" borderId="1" xfId="0" applyNumberFormat="1" applyFill="1" applyBorder="1"/>
    <xf numFmtId="49" fontId="0" fillId="0" borderId="0" xfId="0" applyNumberFormat="1" applyAlignment="1">
      <alignment horizontal="center"/>
    </xf>
    <xf numFmtId="0" fontId="3" fillId="0" borderId="9" xfId="0" applyFont="1" applyBorder="1" applyAlignment="1">
      <alignment horizontal="center"/>
    </xf>
    <xf numFmtId="0" fontId="3" fillId="13" borderId="6" xfId="0" applyFont="1" applyFill="1" applyBorder="1"/>
    <xf numFmtId="0" fontId="0" fillId="0" borderId="0" xfId="0" applyAlignment="1">
      <alignment horizontal="center"/>
    </xf>
    <xf numFmtId="0" fontId="0" fillId="17" borderId="0" xfId="0" applyFill="1"/>
    <xf numFmtId="2" fontId="0" fillId="5" borderId="1" xfId="0" applyNumberFormat="1" applyFill="1" applyBorder="1"/>
    <xf numFmtId="49" fontId="0" fillId="16" borderId="2" xfId="0" applyNumberFormat="1" applyFill="1" applyBorder="1" applyAlignment="1"/>
    <xf numFmtId="49" fontId="0" fillId="16" borderId="1" xfId="0" applyNumberFormat="1" applyFill="1" applyBorder="1" applyAlignment="1"/>
    <xf numFmtId="0" fontId="6" fillId="0" borderId="0" xfId="0" applyFont="1"/>
    <xf numFmtId="166" fontId="0" fillId="8" borderId="1" xfId="0" applyNumberFormat="1" applyFill="1" applyBorder="1"/>
    <xf numFmtId="167" fontId="0" fillId="8" borderId="1" xfId="0" applyNumberFormat="1" applyFill="1" applyBorder="1"/>
    <xf numFmtId="0" fontId="3" fillId="9" borderId="1" xfId="0" applyFont="1" applyFill="1" applyBorder="1"/>
    <xf numFmtId="0" fontId="0" fillId="9" borderId="1" xfId="0" applyFill="1" applyBorder="1"/>
    <xf numFmtId="168" fontId="0" fillId="9" borderId="1" xfId="0" applyNumberFormat="1" applyFill="1" applyBorder="1"/>
    <xf numFmtId="0" fontId="0" fillId="9" borderId="1" xfId="1" applyFont="1" applyFill="1" applyBorder="1"/>
    <xf numFmtId="0" fontId="3" fillId="9" borderId="1" xfId="1" applyFont="1" applyFill="1" applyBorder="1"/>
    <xf numFmtId="0" fontId="0" fillId="8" borderId="1" xfId="1" applyFont="1" applyFill="1" applyBorder="1"/>
    <xf numFmtId="0" fontId="0" fillId="7" borderId="1" xfId="1" applyFont="1" applyFill="1" applyBorder="1"/>
    <xf numFmtId="0" fontId="0" fillId="11" borderId="1" xfId="1" applyFont="1" applyFill="1" applyBorder="1"/>
    <xf numFmtId="169" fontId="0" fillId="0" borderId="0" xfId="0" applyNumberFormat="1"/>
    <xf numFmtId="170" fontId="0" fillId="0" borderId="0" xfId="0" applyNumberFormat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3" fillId="8" borderId="2" xfId="0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0" fontId="3" fillId="14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14" fontId="3" fillId="9" borderId="2" xfId="0" applyNumberFormat="1" applyFont="1" applyFill="1" applyBorder="1" applyAlignment="1">
      <alignment horizontal="center"/>
    </xf>
    <xf numFmtId="14" fontId="3" fillId="9" borderId="3" xfId="0" applyNumberFormat="1" applyFont="1" applyFill="1" applyBorder="1" applyAlignment="1">
      <alignment horizontal="center"/>
    </xf>
    <xf numFmtId="14" fontId="3" fillId="9" borderId="4" xfId="0" applyNumberFormat="1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9" borderId="2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0" borderId="0" xfId="0" applyAlignment="1">
      <alignment horizontal="center"/>
    </xf>
    <xf numFmtId="49" fontId="3" fillId="1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3" fillId="15" borderId="1" xfId="0" applyNumberFormat="1" applyFont="1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12" borderId="2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/>
    </xf>
    <xf numFmtId="0" fontId="4" fillId="12" borderId="4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11" borderId="3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3" fillId="9" borderId="1" xfId="1" applyFont="1" applyFill="1" applyBorder="1" applyAlignment="1">
      <alignment horizontal="center"/>
    </xf>
    <xf numFmtId="0" fontId="2" fillId="9" borderId="1" xfId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</cellXfs>
  <cellStyles count="2">
    <cellStyle name="20% - Colore 1" xfId="1" builtinId="30"/>
    <cellStyle name="Normale" xfId="0" builtinId="0"/>
  </cellStyles>
  <dxfs count="0"/>
  <tableStyles count="0" defaultTableStyle="TableStyleMedium2" defaultPivotStyle="PivotStyleLight16"/>
  <colors>
    <mruColors>
      <color rgb="FFBBA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Costi</a:t>
            </a:r>
            <a:r>
              <a:rPr lang="it-IT" baseline="0"/>
              <a:t> totali di produzione</a:t>
            </a:r>
            <a:endParaRPr lang="it-I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8.1730213012158007E-2"/>
          <c:y val="0.12969118811571592"/>
          <c:w val="0.84721487700779596"/>
          <c:h val="0.6706490534338113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A67A-475C-ADDB-887236FF3D8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7408-4D86-B48E-C4BBE57DB95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7408-4D86-B48E-C4BBE57DB95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7408-4D86-B48E-C4BBE57DB955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A67A-475C-ADDB-887236FF3D8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7408-4D86-B48E-C4BBE57DB955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4-7408-4D86-B48E-C4BBE57DB955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7408-4D86-B48E-C4BBE57DB955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A67A-475C-ADDB-887236FF3D86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6-7408-4D86-B48E-C4BBE57DB955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A67A-475C-ADDB-887236FF3D86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7-A67A-475C-ADDB-887236FF3D86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9-A67A-475C-ADDB-887236FF3D86}"/>
              </c:ext>
            </c:extLst>
          </c:dPt>
          <c:dLbls>
            <c:dLbl>
              <c:idx val="0"/>
              <c:layout>
                <c:manualLayout>
                  <c:x val="-5.9556618544904606E-2"/>
                  <c:y val="3.12559104926403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7A-475C-ADDB-887236FF3D86}"/>
                </c:ext>
              </c:extLst>
            </c:dLbl>
            <c:dLbl>
              <c:idx val="1"/>
              <c:layout>
                <c:manualLayout>
                  <c:x val="4.2821031063246057E-2"/>
                  <c:y val="-0.1744517978461509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08-4D86-B48E-C4BBE57DB955}"/>
                </c:ext>
              </c:extLst>
            </c:dLbl>
            <c:dLbl>
              <c:idx val="2"/>
              <c:layout>
                <c:manualLayout>
                  <c:x val="3.9436817071990503E-2"/>
                  <c:y val="2.138975066700318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408-4D86-B48E-C4BBE57DB955}"/>
                </c:ext>
              </c:extLst>
            </c:dLbl>
            <c:dLbl>
              <c:idx val="3"/>
              <c:layout>
                <c:manualLayout>
                  <c:x val="6.202251105974492E-2"/>
                  <c:y val="1.14015568628477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08-4D86-B48E-C4BBE57DB955}"/>
                </c:ext>
              </c:extLst>
            </c:dLbl>
            <c:dLbl>
              <c:idx val="4"/>
              <c:layout>
                <c:manualLayout>
                  <c:x val="3.220005012344275E-2"/>
                  <c:y val="-4.176198810591265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67A-475C-ADDB-887236FF3D86}"/>
                </c:ext>
              </c:extLst>
            </c:dLbl>
            <c:dLbl>
              <c:idx val="5"/>
              <c:layout>
                <c:manualLayout>
                  <c:x val="3.7931762473091865E-2"/>
                  <c:y val="1.60153539703721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408-4D86-B48E-C4BBE57DB955}"/>
                </c:ext>
              </c:extLst>
            </c:dLbl>
            <c:dLbl>
              <c:idx val="6"/>
              <c:layout>
                <c:manualLayout>
                  <c:x val="3.6976069954114447E-2"/>
                  <c:y val="1.09708884732822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08-4D86-B48E-C4BBE57DB955}"/>
                </c:ext>
              </c:extLst>
            </c:dLbl>
            <c:dLbl>
              <c:idx val="7"/>
              <c:layout>
                <c:manualLayout>
                  <c:x val="4.1443106098397242E-2"/>
                  <c:y val="2.07679182473756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408-4D86-B48E-C4BBE57DB955}"/>
                </c:ext>
              </c:extLst>
            </c:dLbl>
            <c:dLbl>
              <c:idx val="8"/>
              <c:layout>
                <c:manualLayout>
                  <c:x val="2.9482968684074601E-2"/>
                  <c:y val="1.61493885201858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A67A-475C-ADDB-887236FF3D86}"/>
                </c:ext>
              </c:extLst>
            </c:dLbl>
            <c:dLbl>
              <c:idx val="9"/>
              <c:layout>
                <c:manualLayout>
                  <c:x val="3.6056759029833844E-2"/>
                  <c:y val="4.349835245677893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08-4D86-B48E-C4BBE57DB955}"/>
                </c:ext>
              </c:extLst>
            </c:dLbl>
            <c:dLbl>
              <c:idx val="10"/>
              <c:layout>
                <c:manualLayout>
                  <c:x val="1.9596530193761098E-2"/>
                  <c:y val="1.588808030579484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A67A-475C-ADDB-887236FF3D86}"/>
                </c:ext>
              </c:extLst>
            </c:dLbl>
            <c:dLbl>
              <c:idx val="11"/>
              <c:layout>
                <c:manualLayout>
                  <c:x val="3.5232559988831888E-2"/>
                  <c:y val="4.397482584382186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A67A-475C-ADDB-887236FF3D86}"/>
                </c:ext>
              </c:extLst>
            </c:dLbl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Tipologia!$B$70:$B$82</c:f>
              <c:strCache>
                <c:ptCount val="13"/>
                <c:pt idx="0">
                  <c:v>Pad di decollo/atterraggio</c:v>
                </c:pt>
                <c:pt idx="1">
                  <c:v>Pad di parcheggio</c:v>
                </c:pt>
                <c:pt idx="2">
                  <c:v>Normal Charger</c:v>
                </c:pt>
                <c:pt idx="3">
                  <c:v>Fast Charger</c:v>
                </c:pt>
                <c:pt idx="4">
                  <c:v>Hangar</c:v>
                </c:pt>
                <c:pt idx="5">
                  <c:v>Impianto di sicurezza</c:v>
                </c:pt>
                <c:pt idx="6">
                  <c:v>Impianto Antincendio</c:v>
                </c:pt>
                <c:pt idx="7">
                  <c:v>Cabina di Controllo (piccola)</c:v>
                </c:pt>
                <c:pt idx="8">
                  <c:v>Cabina di Controllo (grande)</c:v>
                </c:pt>
                <c:pt idx="9">
                  <c:v>Area Passeggeri</c:v>
                </c:pt>
                <c:pt idx="10">
                  <c:v>Faro</c:v>
                </c:pt>
                <c:pt idx="11">
                  <c:v>Antenna 5G</c:v>
                </c:pt>
                <c:pt idx="12">
                  <c:v>Parcheggio Auto</c:v>
                </c:pt>
              </c:strCache>
            </c:strRef>
          </c:cat>
          <c:val>
            <c:numRef>
              <c:f>Tipologia!$H$70:$H$82</c:f>
              <c:numCache>
                <c:formatCode>General</c:formatCode>
                <c:ptCount val="13"/>
                <c:pt idx="0">
                  <c:v>19511195.169412121</c:v>
                </c:pt>
                <c:pt idx="1">
                  <c:v>11229926.652045423</c:v>
                </c:pt>
                <c:pt idx="2">
                  <c:v>499707.93122258427</c:v>
                </c:pt>
                <c:pt idx="3">
                  <c:v>1054197.4701745785</c:v>
                </c:pt>
                <c:pt idx="4">
                  <c:v>432000</c:v>
                </c:pt>
                <c:pt idx="5">
                  <c:v>1559207.2702731357</c:v>
                </c:pt>
                <c:pt idx="6">
                  <c:v>135526.57136680477</c:v>
                </c:pt>
                <c:pt idx="7">
                  <c:v>1501746.7767062532</c:v>
                </c:pt>
                <c:pt idx="8">
                  <c:v>665276.94190693344</c:v>
                </c:pt>
                <c:pt idx="9">
                  <c:v>701387.85810430802</c:v>
                </c:pt>
                <c:pt idx="10">
                  <c:v>117762</c:v>
                </c:pt>
                <c:pt idx="11">
                  <c:v>677932.5</c:v>
                </c:pt>
                <c:pt idx="12">
                  <c:v>2226000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08-4D86-B48E-C4BBE57DB95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Costi Operativi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9.0277777777777776E-2"/>
          <c:y val="0.2167461358996792"/>
          <c:w val="0.83194444444444449"/>
          <c:h val="0.58805810731991826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BA1A-4411-9852-82400170443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BA1A-4411-9852-824001704436}"/>
              </c:ext>
            </c:extLst>
          </c:dPt>
          <c:dLbls>
            <c:dLbl>
              <c:idx val="0"/>
              <c:layout>
                <c:manualLayout>
                  <c:x val="-4.5762467191601049E-2"/>
                  <c:y val="-0.2063090551181102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A-4411-9852-824001704436}"/>
                </c:ext>
              </c:extLst>
            </c:dLbl>
            <c:dLbl>
              <c:idx val="1"/>
              <c:layout>
                <c:manualLayout>
                  <c:x val="4.4151356080489937E-2"/>
                  <c:y val="5.86333479148439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A-4411-9852-824001704436}"/>
                </c:ext>
              </c:extLst>
            </c:dLbl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Foglio1!$B$10:$B$11</c:f>
              <c:strCache>
                <c:ptCount val="2"/>
                <c:pt idx="0">
                  <c:v>DOC</c:v>
                </c:pt>
                <c:pt idx="1">
                  <c:v>IOC</c:v>
                </c:pt>
              </c:strCache>
            </c:strRef>
          </c:cat>
          <c:val>
            <c:numRef>
              <c:f>Foglio1!$C$10:$C$11</c:f>
              <c:numCache>
                <c:formatCode>General</c:formatCode>
                <c:ptCount val="2"/>
                <c:pt idx="0">
                  <c:v>42340968.796435758</c:v>
                </c:pt>
                <c:pt idx="1">
                  <c:v>16525913.357060608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1A-4411-9852-82400170443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816972878390202"/>
          <c:y val="0.84406506004931203"/>
          <c:w val="0.20810476815398074"/>
          <c:h val="0.125631909647657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DOC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23587512087305"/>
          <c:y val="0.10173629337999417"/>
          <c:w val="0.78003942840478269"/>
          <c:h val="0.805671114027413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F174-46F4-B088-C4F184C3792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38B8-4641-905A-55ABC8B9D11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38B8-4641-905A-55ABC8B9D11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F174-46F4-B088-C4F184C3792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2-F174-46F4-B088-C4F184C3792A}"/>
              </c:ext>
            </c:extLst>
          </c:dPt>
          <c:dLbls>
            <c:dLbl>
              <c:idx val="0"/>
              <c:layout>
                <c:manualLayout>
                  <c:x val="-8.4278901780336282E-3"/>
                  <c:y val="5.313857738693904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174-46F4-B088-C4F184C3792A}"/>
                </c:ext>
              </c:extLst>
            </c:dLbl>
            <c:dLbl>
              <c:idx val="1"/>
              <c:layout>
                <c:manualLayout>
                  <c:x val="-8.8503476539116818E-2"/>
                  <c:y val="7.074110527850685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B8-4641-905A-55ABC8B9D11A}"/>
                </c:ext>
              </c:extLst>
            </c:dLbl>
            <c:dLbl>
              <c:idx val="2"/>
              <c:layout>
                <c:manualLayout>
                  <c:x val="0.1036448404475756"/>
                  <c:y val="-0.1840037182852143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8B8-4641-905A-55ABC8B9D11A}"/>
                </c:ext>
              </c:extLst>
            </c:dLbl>
            <c:dLbl>
              <c:idx val="3"/>
              <c:layout>
                <c:manualLayout>
                  <c:x val="7.8476484559148636E-3"/>
                  <c:y val="4.062129542944758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174-46F4-B088-C4F184C3792A}"/>
                </c:ext>
              </c:extLst>
            </c:dLbl>
            <c:dLbl>
              <c:idx val="4"/>
              <c:layout>
                <c:manualLayout>
                  <c:x val="2.0526194772024331E-2"/>
                  <c:y val="0.1406479610913211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174-46F4-B088-C4F184C3792A}"/>
                </c:ext>
              </c:extLst>
            </c:dLbl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'Costi operativi diretti'!$D$5:$D$9</c:f>
              <c:strCache>
                <c:ptCount val="5"/>
                <c:pt idx="0">
                  <c:v>Capital</c:v>
                </c:pt>
                <c:pt idx="1">
                  <c:v>Crew</c:v>
                </c:pt>
                <c:pt idx="2">
                  <c:v>Electricity </c:v>
                </c:pt>
                <c:pt idx="3">
                  <c:v>Tax</c:v>
                </c:pt>
                <c:pt idx="4">
                  <c:v>Maintenance</c:v>
                </c:pt>
              </c:strCache>
            </c:strRef>
          </c:cat>
          <c:val>
            <c:numRef>
              <c:f>'Costi operativi diretti'!$E$5:$E$9</c:f>
              <c:numCache>
                <c:formatCode>[$$-45C]#,##0</c:formatCode>
                <c:ptCount val="5"/>
                <c:pt idx="0">
                  <c:v>2417924.2471586685</c:v>
                </c:pt>
                <c:pt idx="1">
                  <c:v>36201000</c:v>
                </c:pt>
                <c:pt idx="2">
                  <c:v>93976.506567999997</c:v>
                </c:pt>
                <c:pt idx="3">
                  <c:v>1612474.6856484858</c:v>
                </c:pt>
                <c:pt idx="4">
                  <c:v>2015593.3570606073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74-46F4-B088-C4F184C3792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158238507523983"/>
          <c:y val="0.80921765176085758"/>
          <c:w val="0.6791211752419849"/>
          <c:h val="7.87636784608458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IOC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238202948287965"/>
          <c:y val="0.16655110819480898"/>
          <c:w val="0.75714077133361612"/>
          <c:h val="0.8056711140274132"/>
        </c:manualLayout>
      </c:layout>
      <c:pie3D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93AE-4D03-BE08-493D4EAFD54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93AE-4D03-BE08-493D4EAFD54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93AE-4D03-BE08-493D4EAFD54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93AE-4D03-BE08-493D4EAFD54F}"/>
              </c:ext>
            </c:extLst>
          </c:dPt>
          <c:dLbls>
            <c:dLbl>
              <c:idx val="0"/>
              <c:layout>
                <c:manualLayout>
                  <c:x val="-8.6307525192091422E-2"/>
                  <c:y val="1.104440069991251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3AE-4D03-BE08-493D4EAFD54F}"/>
                </c:ext>
              </c:extLst>
            </c:dLbl>
            <c:dLbl>
              <c:idx val="1"/>
              <c:layout>
                <c:manualLayout>
                  <c:x val="-2.7578610549384489E-2"/>
                  <c:y val="-0.2406098716827064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3AE-4D03-BE08-493D4EAFD54F}"/>
                </c:ext>
              </c:extLst>
            </c:dLbl>
            <c:dLbl>
              <c:idx val="2"/>
              <c:layout>
                <c:manualLayout>
                  <c:x val="7.9383148074519488E-2"/>
                  <c:y val="6.44065325167678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3AE-4D03-BE08-493D4EAFD54F}"/>
                </c:ext>
              </c:extLst>
            </c:dLbl>
            <c:dLbl>
              <c:idx val="3"/>
              <c:layout>
                <c:manualLayout>
                  <c:x val="3.3847622326936916E-2"/>
                  <c:y val="2.420421405657630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3AE-4D03-BE08-493D4EAFD54F}"/>
                </c:ext>
              </c:extLst>
            </c:dLbl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'Costi opertivi indiretti '!$B$6:$B$9</c:f>
              <c:strCache>
                <c:ptCount val="4"/>
                <c:pt idx="0">
                  <c:v>Advertisement</c:v>
                </c:pt>
                <c:pt idx="1">
                  <c:v>Administration</c:v>
                </c:pt>
                <c:pt idx="2">
                  <c:v>Training</c:v>
                </c:pt>
                <c:pt idx="3">
                  <c:v>Merket</c:v>
                </c:pt>
              </c:strCache>
            </c:strRef>
          </c:cat>
          <c:val>
            <c:numRef>
              <c:f>'Costi opertivi indiretti '!$C$6:$C$9</c:f>
              <c:numCache>
                <c:formatCode>[$$-45C]#,##0</c:formatCode>
                <c:ptCount val="4"/>
                <c:pt idx="0">
                  <c:v>2725593.3570606075</c:v>
                </c:pt>
                <c:pt idx="1">
                  <c:v>10480000</c:v>
                </c:pt>
                <c:pt idx="2">
                  <c:v>980020</c:v>
                </c:pt>
                <c:pt idx="3">
                  <c:v>2340300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70-48DD-8580-3F39EA3BBDE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Variation in the number of Vertistations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Parametrico!$B$21</c:f>
              <c:strCache>
                <c:ptCount val="1"/>
                <c:pt idx="0">
                  <c:v>Revenues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Parametrico!$C$20:$M$20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cat>
          <c:val>
            <c:numRef>
              <c:f>Parametrico!$C$21:$M$21</c:f>
              <c:numCache>
                <c:formatCode>[$$-409]#,##0</c:formatCode>
                <c:ptCount val="11"/>
                <c:pt idx="0">
                  <c:v>168017254.59832913</c:v>
                </c:pt>
                <c:pt idx="1">
                  <c:v>183813611.56607106</c:v>
                </c:pt>
                <c:pt idx="2">
                  <c:v>199609968.533813</c:v>
                </c:pt>
                <c:pt idx="3">
                  <c:v>215406325.50155494</c:v>
                </c:pt>
                <c:pt idx="4">
                  <c:v>231202682.46929687</c:v>
                </c:pt>
                <c:pt idx="5">
                  <c:v>246999039.43703881</c:v>
                </c:pt>
                <c:pt idx="6">
                  <c:v>262795396.40478075</c:v>
                </c:pt>
                <c:pt idx="7">
                  <c:v>278591753.37252271</c:v>
                </c:pt>
                <c:pt idx="8">
                  <c:v>294388110.34026462</c:v>
                </c:pt>
                <c:pt idx="9">
                  <c:v>310184467.30800658</c:v>
                </c:pt>
                <c:pt idx="10">
                  <c:v>325980824.27574849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07-4E43-8DDA-753A8AE69E31}"/>
            </c:ext>
          </c:extLst>
        </c:ser>
        <c:ser>
          <c:idx val="1"/>
          <c:order val="1"/>
          <c:tx>
            <c:strRef>
              <c:f>Parametrico!$B$22</c:f>
              <c:strCache>
                <c:ptCount val="1"/>
                <c:pt idx="0">
                  <c:v>Cost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Parametrico!$C$20:$M$20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cat>
          <c:val>
            <c:numRef>
              <c:f>Parametrico!$C$22:$M$22</c:f>
              <c:numCache>
                <c:formatCode>[$$-409]#,##0</c:formatCode>
                <c:ptCount val="11"/>
                <c:pt idx="0">
                  <c:v>167599863.56449944</c:v>
                </c:pt>
                <c:pt idx="1">
                  <c:v>183238075.10351813</c:v>
                </c:pt>
                <c:pt idx="2">
                  <c:v>198873957.48959538</c:v>
                </c:pt>
                <c:pt idx="3">
                  <c:v>214507931.54689118</c:v>
                </c:pt>
                <c:pt idx="4">
                  <c:v>230140275.20112172</c:v>
                </c:pt>
                <c:pt idx="5">
                  <c:v>245771189.24466574</c:v>
                </c:pt>
                <c:pt idx="6">
                  <c:v>261400827.26271689</c:v>
                </c:pt>
                <c:pt idx="7">
                  <c:v>277029311.44784158</c:v>
                </c:pt>
                <c:pt idx="8">
                  <c:v>292656741.84895581</c:v>
                </c:pt>
                <c:pt idx="9">
                  <c:v>308283202.19406903</c:v>
                </c:pt>
                <c:pt idx="10">
                  <c:v>323908763.76720726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07-4E43-8DDA-753A8AE6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115284399"/>
        <c:axId val="2115283983"/>
      </c:barChart>
      <c:barChart>
        <c:barDir val="col"/>
        <c:grouping val="clustered"/>
        <c:varyColors val="0"/>
        <c:ser>
          <c:idx val="2"/>
          <c:order val="2"/>
          <c:tx>
            <c:strRef>
              <c:f>Parametrico!$B$23</c:f>
              <c:strCache>
                <c:ptCount val="1"/>
                <c:pt idx="0">
                  <c:v>Profits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Parametrico!$C$20:$M$20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</c:numCache>
            </c:numRef>
          </c:cat>
          <c:val>
            <c:numRef>
              <c:f>Parametrico!$C$23:$M$23</c:f>
              <c:numCache>
                <c:formatCode>[$$-409]#,##0</c:formatCode>
                <c:ptCount val="11"/>
                <c:pt idx="0">
                  <c:v>417391.03382968903</c:v>
                </c:pt>
                <c:pt idx="1">
                  <c:v>575536.46255293489</c:v>
                </c:pt>
                <c:pt idx="2">
                  <c:v>736011.04421761632</c:v>
                </c:pt>
                <c:pt idx="3">
                  <c:v>898393.95466375351</c:v>
                </c:pt>
                <c:pt idx="4">
                  <c:v>1062407.2681751549</c:v>
                </c:pt>
                <c:pt idx="5">
                  <c:v>1227850.1923730671</c:v>
                </c:pt>
                <c:pt idx="6">
                  <c:v>1394569.1420638561</c:v>
                </c:pt>
                <c:pt idx="7">
                  <c:v>1562441.9246811271</c:v>
                </c:pt>
                <c:pt idx="8">
                  <c:v>1731368.4913088083</c:v>
                </c:pt>
                <c:pt idx="9">
                  <c:v>1901265.1139375567</c:v>
                </c:pt>
                <c:pt idx="10">
                  <c:v>2072060.5085412264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07-4E43-8DDA-753A8AE69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008911"/>
        <c:axId val="906005167"/>
      </c:barChart>
      <c:catAx>
        <c:axId val="2115284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5283983"/>
        <c:crosses val="autoZero"/>
        <c:auto val="1"/>
        <c:lblAlgn val="ctr"/>
        <c:lblOffset val="100"/>
        <c:noMultiLvlLbl val="0"/>
      </c:catAx>
      <c:valAx>
        <c:axId val="211528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15284399"/>
        <c:crosses val="autoZero"/>
        <c:crossBetween val="between"/>
      </c:valAx>
      <c:valAx>
        <c:axId val="906005167"/>
        <c:scaling>
          <c:orientation val="minMax"/>
        </c:scaling>
        <c:delete val="0"/>
        <c:axPos val="r"/>
        <c:numFmt formatCode="[$$-409]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008911"/>
        <c:crosses val="max"/>
        <c:crossBetween val="between"/>
      </c:valAx>
      <c:catAx>
        <c:axId val="9060089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060051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Variation in the number of</a:t>
            </a:r>
            <a:r>
              <a:rPr lang="it-IT" baseline="0"/>
              <a:t> </a:t>
            </a:r>
            <a:r>
              <a:rPr lang="it-IT"/>
              <a:t>Vertiport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Parametrico!$B$28</c:f>
              <c:strCache>
                <c:ptCount val="1"/>
                <c:pt idx="0">
                  <c:v>Revenues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Parametrico!$C$27:$M$27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Parametrico!$C$28:$M$28</c:f>
              <c:numCache>
                <c:formatCode>[$$-409]#,##0</c:formatCode>
                <c:ptCount val="11"/>
                <c:pt idx="0">
                  <c:v>218723560.46478075</c:v>
                </c:pt>
                <c:pt idx="1">
                  <c:v>229741519.44978076</c:v>
                </c:pt>
                <c:pt idx="2">
                  <c:v>240759478.43478075</c:v>
                </c:pt>
                <c:pt idx="3">
                  <c:v>251777437.41978076</c:v>
                </c:pt>
                <c:pt idx="4">
                  <c:v>262795396.40478075</c:v>
                </c:pt>
                <c:pt idx="5">
                  <c:v>273813355.38978076</c:v>
                </c:pt>
                <c:pt idx="6">
                  <c:v>284831314.37478077</c:v>
                </c:pt>
                <c:pt idx="7">
                  <c:v>295849273.35978073</c:v>
                </c:pt>
                <c:pt idx="8">
                  <c:v>306867232.34478074</c:v>
                </c:pt>
                <c:pt idx="9">
                  <c:v>317885191.32978076</c:v>
                </c:pt>
                <c:pt idx="10">
                  <c:v>328903150.31478077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6C-43BF-8AF1-7E020AE83BEB}"/>
            </c:ext>
          </c:extLst>
        </c:ser>
        <c:ser>
          <c:idx val="1"/>
          <c:order val="1"/>
          <c:tx>
            <c:strRef>
              <c:f>Parametrico!$B$29</c:f>
              <c:strCache>
                <c:ptCount val="1"/>
                <c:pt idx="0">
                  <c:v>Cost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Parametrico!$C$27:$M$27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Parametrico!$C$29:$M$29</c:f>
              <c:numCache>
                <c:formatCode>[$$-409]#,##0</c:formatCode>
                <c:ptCount val="11"/>
                <c:pt idx="0">
                  <c:v>217643418.61755377</c:v>
                </c:pt>
                <c:pt idx="1">
                  <c:v>228584185.7019769</c:v>
                </c:pt>
                <c:pt idx="2">
                  <c:v>239523963.2046296</c:v>
                </c:pt>
                <c:pt idx="3">
                  <c:v>250462822.8515884</c:v>
                </c:pt>
                <c:pt idx="4">
                  <c:v>261400827.26271689</c:v>
                </c:pt>
                <c:pt idx="5">
                  <c:v>272338031.56994772</c:v>
                </c:pt>
                <c:pt idx="6">
                  <c:v>283274484.67219722</c:v>
                </c:pt>
                <c:pt idx="7">
                  <c:v>294210230.22407901</c:v>
                </c:pt>
                <c:pt idx="8">
                  <c:v>305145307.42580718</c:v>
                </c:pt>
                <c:pt idx="9">
                  <c:v>316079751.66208351</c:v>
                </c:pt>
                <c:pt idx="10">
                  <c:v>327013595.02454066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6C-43BF-8AF1-7E020AE83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39936527"/>
        <c:axId val="239943183"/>
      </c:barChart>
      <c:barChart>
        <c:barDir val="col"/>
        <c:grouping val="clustered"/>
        <c:varyColors val="0"/>
        <c:ser>
          <c:idx val="2"/>
          <c:order val="2"/>
          <c:tx>
            <c:strRef>
              <c:f>Parametrico!$B$30</c:f>
              <c:strCache>
                <c:ptCount val="1"/>
                <c:pt idx="0">
                  <c:v>Profits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Parametrico!$C$27:$M$27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Parametrico!$C$30:$M$30</c:f>
              <c:numCache>
                <c:formatCode>[$$-409]#,##0</c:formatCode>
                <c:ptCount val="11"/>
                <c:pt idx="0">
                  <c:v>1080141.8472269773</c:v>
                </c:pt>
                <c:pt idx="1">
                  <c:v>1157333.7478038669</c:v>
                </c:pt>
                <c:pt idx="2">
                  <c:v>1235515.2301511467</c:v>
                </c:pt>
                <c:pt idx="3">
                  <c:v>1314614.5681923628</c:v>
                </c:pt>
                <c:pt idx="4">
                  <c:v>1394569.1420638561</c:v>
                </c:pt>
                <c:pt idx="5">
                  <c:v>1475323.8198330402</c:v>
                </c:pt>
                <c:pt idx="6">
                  <c:v>1556829.7025835514</c:v>
                </c:pt>
                <c:pt idx="7">
                  <c:v>1639043.1357017159</c:v>
                </c:pt>
                <c:pt idx="8">
                  <c:v>1721924.9189735651</c:v>
                </c:pt>
                <c:pt idx="9">
                  <c:v>1805439.6676972508</c:v>
                </c:pt>
                <c:pt idx="10">
                  <c:v>1889555.290240109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6C-43BF-8AF1-7E020AE83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44853279"/>
        <c:axId val="1544857023"/>
      </c:barChart>
      <c:catAx>
        <c:axId val="239936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43183"/>
        <c:crosses val="autoZero"/>
        <c:auto val="1"/>
        <c:lblAlgn val="ctr"/>
        <c:lblOffset val="100"/>
        <c:noMultiLvlLbl val="0"/>
      </c:catAx>
      <c:valAx>
        <c:axId val="23994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36527"/>
        <c:crosses val="autoZero"/>
        <c:crossBetween val="between"/>
      </c:valAx>
      <c:valAx>
        <c:axId val="1544857023"/>
        <c:scaling>
          <c:orientation val="minMax"/>
          <c:max val="2400000"/>
          <c:min val="0"/>
        </c:scaling>
        <c:delete val="0"/>
        <c:axPos val="r"/>
        <c:numFmt formatCode="[$$-409]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4853279"/>
        <c:crosses val="max"/>
        <c:crossBetween val="between"/>
      </c:valAx>
      <c:catAx>
        <c:axId val="15448532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4485702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Variation in the number of Vertihub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Parametrico!$B$35</c:f>
              <c:strCache>
                <c:ptCount val="1"/>
                <c:pt idx="0">
                  <c:v>Revenues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Parametrico!$C$34:$M$34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Parametrico!$C$35:$M$35</c:f>
              <c:numCache>
                <c:formatCode>[$$-540A]#,##0</c:formatCode>
                <c:ptCount val="11"/>
                <c:pt idx="0">
                  <c:v>239685847.29925317</c:v>
                </c:pt>
                <c:pt idx="1">
                  <c:v>262795396.40478075</c:v>
                </c:pt>
                <c:pt idx="2">
                  <c:v>285904945.51030838</c:v>
                </c:pt>
                <c:pt idx="3">
                  <c:v>309014494.61583602</c:v>
                </c:pt>
                <c:pt idx="4">
                  <c:v>332124043.72136372</c:v>
                </c:pt>
                <c:pt idx="5">
                  <c:v>355233592.8268913</c:v>
                </c:pt>
                <c:pt idx="6">
                  <c:v>378343141.93241894</c:v>
                </c:pt>
                <c:pt idx="7">
                  <c:v>401452691.03794658</c:v>
                </c:pt>
                <c:pt idx="8">
                  <c:v>424562240.14347428</c:v>
                </c:pt>
                <c:pt idx="9">
                  <c:v>447671789.24900186</c:v>
                </c:pt>
                <c:pt idx="10">
                  <c:v>470781338.35452944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5-40DF-BB01-667D2E5AB4D8}"/>
            </c:ext>
          </c:extLst>
        </c:ser>
        <c:ser>
          <c:idx val="1"/>
          <c:order val="1"/>
          <c:tx>
            <c:strRef>
              <c:f>Parametrico!$B$36</c:f>
              <c:strCache>
                <c:ptCount val="1"/>
                <c:pt idx="0">
                  <c:v>Cost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Parametrico!$C$34:$M$34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Parametrico!$C$36:$M$36</c:f>
              <c:numCache>
                <c:formatCode>[$$-540A]#,##0</c:formatCode>
                <c:ptCount val="11"/>
                <c:pt idx="0">
                  <c:v>238204665.59437686</c:v>
                </c:pt>
                <c:pt idx="1">
                  <c:v>261400827.26271689</c:v>
                </c:pt>
                <c:pt idx="2">
                  <c:v>284592878.68520457</c:v>
                </c:pt>
                <c:pt idx="3">
                  <c:v>307781587.45806193</c:v>
                </c:pt>
                <c:pt idx="4">
                  <c:v>330967448.64141393</c:v>
                </c:pt>
                <c:pt idx="5">
                  <c:v>354150817.60610056</c:v>
                </c:pt>
                <c:pt idx="6">
                  <c:v>377331966.0220778</c:v>
                </c:pt>
                <c:pt idx="7">
                  <c:v>400511110.29899955</c:v>
                </c:pt>
                <c:pt idx="8">
                  <c:v>423688427.89450389</c:v>
                </c:pt>
                <c:pt idx="9">
                  <c:v>446864067.49404025</c:v>
                </c:pt>
                <c:pt idx="10">
                  <c:v>470038155.77426243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65-40DF-BB01-667D2E5AB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974799"/>
        <c:axId val="15969807"/>
      </c:barChart>
      <c:barChart>
        <c:barDir val="col"/>
        <c:grouping val="clustered"/>
        <c:varyColors val="0"/>
        <c:ser>
          <c:idx val="2"/>
          <c:order val="2"/>
          <c:tx>
            <c:strRef>
              <c:f>Parametrico!$B$37</c:f>
              <c:strCache>
                <c:ptCount val="1"/>
                <c:pt idx="0">
                  <c:v>Profits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numRef>
              <c:f>Parametrico!$C$34:$M$34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</c:numCache>
            </c:numRef>
          </c:cat>
          <c:val>
            <c:numRef>
              <c:f>Parametrico!$C$37:$M$37</c:f>
              <c:numCache>
                <c:formatCode>[$$-540A]#,##0</c:formatCode>
                <c:ptCount val="11"/>
                <c:pt idx="0">
                  <c:v>1481181.7048763037</c:v>
                </c:pt>
                <c:pt idx="1">
                  <c:v>1394569.1420638561</c:v>
                </c:pt>
                <c:pt idx="2">
                  <c:v>1312066.8251038194</c:v>
                </c:pt>
                <c:pt idx="3">
                  <c:v>1232907.1577740908</c:v>
                </c:pt>
                <c:pt idx="4">
                  <c:v>1156595.0799497962</c:v>
                </c:pt>
                <c:pt idx="5">
                  <c:v>1082775.2207907438</c:v>
                </c:pt>
                <c:pt idx="6">
                  <c:v>1011175.9103411436</c:v>
                </c:pt>
                <c:pt idx="7">
                  <c:v>941580.73894703388</c:v>
                </c:pt>
                <c:pt idx="8">
                  <c:v>873812.24897038937</c:v>
                </c:pt>
                <c:pt idx="9">
                  <c:v>807721.75496160984</c:v>
                </c:pt>
                <c:pt idx="10">
                  <c:v>743182.58026701212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65-40DF-BB01-667D2E5AB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18093231"/>
        <c:axId val="1618111119"/>
      </c:barChart>
      <c:catAx>
        <c:axId val="15974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69807"/>
        <c:crosses val="autoZero"/>
        <c:auto val="1"/>
        <c:lblAlgn val="ctr"/>
        <c:lblOffset val="100"/>
        <c:noMultiLvlLbl val="0"/>
      </c:catAx>
      <c:valAx>
        <c:axId val="15969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540A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74799"/>
        <c:crosses val="autoZero"/>
        <c:crossBetween val="between"/>
      </c:valAx>
      <c:valAx>
        <c:axId val="1618111119"/>
        <c:scaling>
          <c:orientation val="minMax"/>
        </c:scaling>
        <c:delete val="0"/>
        <c:axPos val="r"/>
        <c:numFmt formatCode="[$$-540A]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8093231"/>
        <c:crosses val="max"/>
        <c:crossBetween val="between"/>
      </c:valAx>
      <c:catAx>
        <c:axId val="16180932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81111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/>
              <a:t>Variation in the </a:t>
            </a:r>
            <a:r>
              <a:rPr lang="it-IT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Vertiport</a:t>
            </a:r>
            <a:r>
              <a:rPr lang="it-IT" sz="1600" b="1" i="0" baseline="0">
                <a:effectLst/>
              </a:rPr>
              <a:t> </a:t>
            </a:r>
            <a:r>
              <a:rPr lang="it-IT"/>
              <a:t>OOMGE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Parametrico!$B$44</c:f>
              <c:strCache>
                <c:ptCount val="1"/>
                <c:pt idx="0">
                  <c:v>Revenues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Parametrico!$C$43:$S$43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Parametrico!$C$44:$S$44</c:f>
              <c:numCache>
                <c:formatCode>[$$-409]#,##0</c:formatCode>
                <c:ptCount val="17"/>
                <c:pt idx="0">
                  <c:v>285904945.51030803</c:v>
                </c:pt>
                <c:pt idx="1">
                  <c:v>286767894.87459999</c:v>
                </c:pt>
                <c:pt idx="2">
                  <c:v>287767894.87459999</c:v>
                </c:pt>
                <c:pt idx="3">
                  <c:v>288999461.87459999</c:v>
                </c:pt>
                <c:pt idx="4">
                  <c:v>290231028.87459999</c:v>
                </c:pt>
                <c:pt idx="5">
                  <c:v>291462595.87459999</c:v>
                </c:pt>
                <c:pt idx="6">
                  <c:v>292694162.87459999</c:v>
                </c:pt>
                <c:pt idx="7">
                  <c:v>293925729.87459999</c:v>
                </c:pt>
                <c:pt idx="8">
                  <c:v>295157296.87459999</c:v>
                </c:pt>
                <c:pt idx="9">
                  <c:v>296388863.87459999</c:v>
                </c:pt>
                <c:pt idx="10">
                  <c:v>297620430.87459999</c:v>
                </c:pt>
                <c:pt idx="11">
                  <c:v>298851997.87459999</c:v>
                </c:pt>
                <c:pt idx="12">
                  <c:v>300083564.87459999</c:v>
                </c:pt>
                <c:pt idx="13">
                  <c:v>301315131.87459999</c:v>
                </c:pt>
                <c:pt idx="14">
                  <c:v>302546698.87459999</c:v>
                </c:pt>
                <c:pt idx="15">
                  <c:v>303778265.87459999</c:v>
                </c:pt>
                <c:pt idx="16">
                  <c:v>305009832.87459999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EE-4EB0-87ED-DE1B1D54D80B}"/>
            </c:ext>
          </c:extLst>
        </c:ser>
        <c:ser>
          <c:idx val="1"/>
          <c:order val="1"/>
          <c:tx>
            <c:strRef>
              <c:f>Parametrico!$B$45</c:f>
              <c:strCache>
                <c:ptCount val="1"/>
                <c:pt idx="0">
                  <c:v>Cost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Parametrico!$C$43:$S$43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Parametrico!$C$45:$S$45</c:f>
              <c:numCache>
                <c:formatCode>[$$-409]#,##0</c:formatCode>
                <c:ptCount val="17"/>
                <c:pt idx="0">
                  <c:v>284592878.68520498</c:v>
                </c:pt>
                <c:pt idx="1">
                  <c:v>285454786.98760003</c:v>
                </c:pt>
                <c:pt idx="2">
                  <c:v>286445445.764</c:v>
                </c:pt>
                <c:pt idx="3">
                  <c:v>287577012.764</c:v>
                </c:pt>
                <c:pt idx="4">
                  <c:v>288608579.764</c:v>
                </c:pt>
                <c:pt idx="5">
                  <c:v>291040146.764</c:v>
                </c:pt>
                <c:pt idx="6">
                  <c:v>292171713.764</c:v>
                </c:pt>
                <c:pt idx="7">
                  <c:v>293093280.764</c:v>
                </c:pt>
                <c:pt idx="8">
                  <c:v>294034847.764</c:v>
                </c:pt>
                <c:pt idx="9">
                  <c:v>295006414.764</c:v>
                </c:pt>
                <c:pt idx="10">
                  <c:v>296037981.764</c:v>
                </c:pt>
                <c:pt idx="11">
                  <c:v>296969548.764</c:v>
                </c:pt>
                <c:pt idx="12">
                  <c:v>297931115.764</c:v>
                </c:pt>
                <c:pt idx="13">
                  <c:v>300362682.764</c:v>
                </c:pt>
                <c:pt idx="14">
                  <c:v>301494249.764</c:v>
                </c:pt>
                <c:pt idx="15">
                  <c:v>302515816.764</c:v>
                </c:pt>
                <c:pt idx="16">
                  <c:v>303517383.764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EE-4EB0-87ED-DE1B1D54D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9941103"/>
        <c:axId val="239928207"/>
      </c:lineChart>
      <c:lineChart>
        <c:grouping val="standard"/>
        <c:varyColors val="0"/>
        <c:ser>
          <c:idx val="2"/>
          <c:order val="2"/>
          <c:tx>
            <c:strRef>
              <c:f>Parametrico!$B$46</c:f>
              <c:strCache>
                <c:ptCount val="1"/>
                <c:pt idx="0">
                  <c:v>Profits</c:v>
                </c:pt>
              </c:strCache>
            </c:strRef>
          </c:tx>
          <c:spPr>
            <a:ln w="349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Parametrico!$C$43:$S$43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Parametrico!$C$46:$S$46</c:f>
              <c:numCache>
                <c:formatCode>[$$-409]#,##0</c:formatCode>
                <c:ptCount val="17"/>
                <c:pt idx="0">
                  <c:v>1312066.8251038194</c:v>
                </c:pt>
                <c:pt idx="1">
                  <c:v>1313107.8869999647</c:v>
                </c:pt>
                <c:pt idx="2">
                  <c:v>1322449.1105999947</c:v>
                </c:pt>
                <c:pt idx="3">
                  <c:v>1422449.1105999947</c:v>
                </c:pt>
                <c:pt idx="4">
                  <c:v>1622449.1105999947</c:v>
                </c:pt>
                <c:pt idx="5">
                  <c:v>422449.11059999466</c:v>
                </c:pt>
                <c:pt idx="6">
                  <c:v>522449.11059999466</c:v>
                </c:pt>
                <c:pt idx="7">
                  <c:v>832449.11059999466</c:v>
                </c:pt>
                <c:pt idx="8">
                  <c:v>1122449.1105999947</c:v>
                </c:pt>
                <c:pt idx="9">
                  <c:v>1382449.1105999947</c:v>
                </c:pt>
                <c:pt idx="10">
                  <c:v>1582449.1105999947</c:v>
                </c:pt>
                <c:pt idx="11">
                  <c:v>1882449.1105999947</c:v>
                </c:pt>
                <c:pt idx="12">
                  <c:v>2152449.1105999947</c:v>
                </c:pt>
                <c:pt idx="13">
                  <c:v>952449.11059999466</c:v>
                </c:pt>
                <c:pt idx="14">
                  <c:v>1052449.1105999947</c:v>
                </c:pt>
                <c:pt idx="15">
                  <c:v>1262449.1105999947</c:v>
                </c:pt>
                <c:pt idx="16">
                  <c:v>1492449.1105999947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7EE-4EB0-87ED-DE1B1D54D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8101551"/>
        <c:axId val="1618114447"/>
      </c:lineChart>
      <c:catAx>
        <c:axId val="239941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28207"/>
        <c:crosses val="autoZero"/>
        <c:auto val="1"/>
        <c:lblAlgn val="ctr"/>
        <c:lblOffset val="100"/>
        <c:noMultiLvlLbl val="0"/>
      </c:catAx>
      <c:valAx>
        <c:axId val="239928207"/>
        <c:scaling>
          <c:orientation val="minMax"/>
          <c:max val="310000000"/>
          <c:min val="2780000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9941103"/>
        <c:crosses val="autoZero"/>
        <c:crossBetween val="between"/>
      </c:valAx>
      <c:valAx>
        <c:axId val="1618114447"/>
        <c:scaling>
          <c:orientation val="minMax"/>
        </c:scaling>
        <c:delete val="0"/>
        <c:axPos val="r"/>
        <c:numFmt formatCode="[$$-409]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8101551"/>
        <c:crosses val="max"/>
        <c:crossBetween val="between"/>
      </c:valAx>
      <c:catAx>
        <c:axId val="16181015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181144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it-IT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Variation in the Vertihub</a:t>
            </a:r>
            <a:r>
              <a:rPr lang="it-IT" sz="1800" b="1" i="0" baseline="0">
                <a:effectLst/>
              </a:rPr>
              <a:t> </a:t>
            </a:r>
            <a:r>
              <a:rPr lang="it-IT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OOMGE </a:t>
            </a:r>
            <a:endParaRPr lang="it-IT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Parametrico!$B$53</c:f>
              <c:strCache>
                <c:ptCount val="1"/>
                <c:pt idx="0">
                  <c:v>Revenues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Parametrico!$C$52:$S$52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Parametrico!$C$53:$S$53</c:f>
              <c:numCache>
                <c:formatCode>[$$-409]#,##0</c:formatCode>
                <c:ptCount val="17"/>
                <c:pt idx="0">
                  <c:v>285904945.51030803</c:v>
                </c:pt>
                <c:pt idx="1">
                  <c:v>286767894.87459999</c:v>
                </c:pt>
                <c:pt idx="2">
                  <c:v>287767894.87459999</c:v>
                </c:pt>
                <c:pt idx="3">
                  <c:v>288999461.87459999</c:v>
                </c:pt>
                <c:pt idx="4">
                  <c:v>290231028.87459999</c:v>
                </c:pt>
                <c:pt idx="5">
                  <c:v>291462595.87459999</c:v>
                </c:pt>
                <c:pt idx="6">
                  <c:v>292694162.87459999</c:v>
                </c:pt>
                <c:pt idx="7">
                  <c:v>293925729.87459999</c:v>
                </c:pt>
                <c:pt idx="8">
                  <c:v>295157296.87459999</c:v>
                </c:pt>
                <c:pt idx="9">
                  <c:v>296388863.87459999</c:v>
                </c:pt>
                <c:pt idx="10">
                  <c:v>297620430.87459999</c:v>
                </c:pt>
                <c:pt idx="11">
                  <c:v>298851997.87459999</c:v>
                </c:pt>
                <c:pt idx="12">
                  <c:v>300083564.87459999</c:v>
                </c:pt>
                <c:pt idx="13">
                  <c:v>301315131.87459999</c:v>
                </c:pt>
                <c:pt idx="14">
                  <c:v>302546698.87459999</c:v>
                </c:pt>
                <c:pt idx="15">
                  <c:v>303778265.87459999</c:v>
                </c:pt>
                <c:pt idx="16">
                  <c:v>305009832.87459999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B8-4BE8-9B07-EC189F96343A}"/>
            </c:ext>
          </c:extLst>
        </c:ser>
        <c:ser>
          <c:idx val="1"/>
          <c:order val="1"/>
          <c:tx>
            <c:strRef>
              <c:f>Parametrico!$B$54</c:f>
              <c:strCache>
                <c:ptCount val="1"/>
                <c:pt idx="0">
                  <c:v>Cost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Parametrico!$C$52:$S$52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Parametrico!$C$54:$S$54</c:f>
              <c:numCache>
                <c:formatCode>[$$-409]#,##0</c:formatCode>
                <c:ptCount val="17"/>
                <c:pt idx="0">
                  <c:v>284592878.68520498</c:v>
                </c:pt>
                <c:pt idx="1">
                  <c:v>285454786.98760003</c:v>
                </c:pt>
                <c:pt idx="2">
                  <c:v>286445445.764</c:v>
                </c:pt>
                <c:pt idx="3">
                  <c:v>287577012.764</c:v>
                </c:pt>
                <c:pt idx="4">
                  <c:v>288708579.764</c:v>
                </c:pt>
                <c:pt idx="5">
                  <c:v>291040146.764</c:v>
                </c:pt>
                <c:pt idx="6">
                  <c:v>292171713.764</c:v>
                </c:pt>
                <c:pt idx="7">
                  <c:v>293093280.764</c:v>
                </c:pt>
                <c:pt idx="8">
                  <c:v>294034847.764</c:v>
                </c:pt>
                <c:pt idx="9">
                  <c:v>295006414.764</c:v>
                </c:pt>
                <c:pt idx="10">
                  <c:v>296037981.764</c:v>
                </c:pt>
                <c:pt idx="11">
                  <c:v>296969548.764</c:v>
                </c:pt>
                <c:pt idx="12">
                  <c:v>297981115.764</c:v>
                </c:pt>
                <c:pt idx="13">
                  <c:v>300362682.764</c:v>
                </c:pt>
                <c:pt idx="14">
                  <c:v>301494249.764</c:v>
                </c:pt>
                <c:pt idx="15">
                  <c:v>302515816.764</c:v>
                </c:pt>
                <c:pt idx="16">
                  <c:v>303517383.764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B8-4BE8-9B07-EC189F963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4777327"/>
        <c:axId val="2054777743"/>
      </c:lineChart>
      <c:lineChart>
        <c:grouping val="standard"/>
        <c:varyColors val="0"/>
        <c:ser>
          <c:idx val="2"/>
          <c:order val="2"/>
          <c:tx>
            <c:strRef>
              <c:f>Parametrico!$B$55</c:f>
              <c:strCache>
                <c:ptCount val="1"/>
                <c:pt idx="0">
                  <c:v>Profits</c:v>
                </c:pt>
              </c:strCache>
            </c:strRef>
          </c:tx>
          <c:spPr>
            <a:ln w="3492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Parametrico!$C$52:$S$52</c:f>
              <c:numCache>
                <c:formatCode>General</c:formatCode>
                <c:ptCount val="17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18</c:v>
                </c:pt>
                <c:pt idx="15">
                  <c:v>19</c:v>
                </c:pt>
                <c:pt idx="16">
                  <c:v>20</c:v>
                </c:pt>
              </c:numCache>
            </c:numRef>
          </c:cat>
          <c:val>
            <c:numRef>
              <c:f>Parametrico!$C$55:$S$55</c:f>
              <c:numCache>
                <c:formatCode>[$$-409]#,##0</c:formatCode>
                <c:ptCount val="17"/>
                <c:pt idx="0">
                  <c:v>1312066.8251038194</c:v>
                </c:pt>
                <c:pt idx="1">
                  <c:v>1313107.8869999647</c:v>
                </c:pt>
                <c:pt idx="2">
                  <c:v>1322449.1105999947</c:v>
                </c:pt>
                <c:pt idx="3">
                  <c:v>1422449.1105999947</c:v>
                </c:pt>
                <c:pt idx="4">
                  <c:v>1522449.1105999947</c:v>
                </c:pt>
                <c:pt idx="5">
                  <c:v>422449.11059999466</c:v>
                </c:pt>
                <c:pt idx="6">
                  <c:v>522449.11059999466</c:v>
                </c:pt>
                <c:pt idx="7">
                  <c:v>832449.11059999466</c:v>
                </c:pt>
                <c:pt idx="8">
                  <c:v>1122449.1105999947</c:v>
                </c:pt>
                <c:pt idx="9">
                  <c:v>1382449.1105999947</c:v>
                </c:pt>
                <c:pt idx="10">
                  <c:v>1582449.1105999947</c:v>
                </c:pt>
                <c:pt idx="11">
                  <c:v>1882449.1105999947</c:v>
                </c:pt>
                <c:pt idx="12">
                  <c:v>2102449.1105999947</c:v>
                </c:pt>
                <c:pt idx="13">
                  <c:v>952449.11059999466</c:v>
                </c:pt>
                <c:pt idx="14">
                  <c:v>1052449.1105999947</c:v>
                </c:pt>
                <c:pt idx="15">
                  <c:v>1262449.1105999947</c:v>
                </c:pt>
                <c:pt idx="16">
                  <c:v>1492449.1105999947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B8-4BE8-9B07-EC189F963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4160031"/>
        <c:axId val="1544854111"/>
      </c:lineChart>
      <c:catAx>
        <c:axId val="2054777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4777743"/>
        <c:crosses val="autoZero"/>
        <c:auto val="1"/>
        <c:lblAlgn val="ctr"/>
        <c:lblOffset val="100"/>
        <c:noMultiLvlLbl val="0"/>
      </c:catAx>
      <c:valAx>
        <c:axId val="2054777743"/>
        <c:scaling>
          <c:orientation val="minMax"/>
          <c:min val="278000000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54777327"/>
        <c:crosses val="autoZero"/>
        <c:crossBetween val="between"/>
      </c:valAx>
      <c:valAx>
        <c:axId val="1544854111"/>
        <c:scaling>
          <c:orientation val="minMax"/>
        </c:scaling>
        <c:delete val="0"/>
        <c:axPos val="r"/>
        <c:numFmt formatCode="[$$-409]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accent4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44160031"/>
        <c:crosses val="max"/>
        <c:crossBetween val="between"/>
      </c:valAx>
      <c:catAx>
        <c:axId val="15441600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448541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1292679</xdr:colOff>
      <xdr:row>84</xdr:row>
      <xdr:rowOff>43542</xdr:rowOff>
    </xdr:from>
    <xdr:to>
      <xdr:col>7</xdr:col>
      <xdr:colOff>802821</xdr:colOff>
      <xdr:row>113</xdr:row>
      <xdr:rowOff>40820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966787</xdr:colOff>
      <xdr:row>12</xdr:row>
      <xdr:rowOff>9525</xdr:rowOff>
    </xdr:from>
    <xdr:to>
      <xdr:col>3</xdr:col>
      <xdr:colOff>1490662</xdr:colOff>
      <xdr:row>24</xdr:row>
      <xdr:rowOff>123825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0</xdr:row>
      <xdr:rowOff>190500</xdr:rowOff>
    </xdr:from>
    <xdr:to>
      <xdr:col>11</xdr:col>
      <xdr:colOff>257175</xdr:colOff>
      <xdr:row>14</xdr:row>
      <xdr:rowOff>133350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738187</xdr:colOff>
      <xdr:row>2</xdr:row>
      <xdr:rowOff>0</xdr:rowOff>
    </xdr:from>
    <xdr:to>
      <xdr:col>13</xdr:col>
      <xdr:colOff>752475</xdr:colOff>
      <xdr:row>15</xdr:row>
      <xdr:rowOff>142875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565945</xdr:colOff>
      <xdr:row>3</xdr:row>
      <xdr:rowOff>37571</xdr:rowOff>
    </xdr:from>
    <xdr:to>
      <xdr:col>26</xdr:col>
      <xdr:colOff>518583</xdr:colOff>
      <xdr:row>18</xdr:row>
      <xdr:rowOff>78052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516465</xdr:colOff>
      <xdr:row>4</xdr:row>
      <xdr:rowOff>42335</xdr:rowOff>
    </xdr:from>
    <xdr:to>
      <xdr:col>39</xdr:col>
      <xdr:colOff>656166</xdr:colOff>
      <xdr:row>19</xdr:row>
      <xdr:rowOff>98426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434445</xdr:colOff>
      <xdr:row>18</xdr:row>
      <xdr:rowOff>130175</xdr:rowOff>
    </xdr:from>
    <xdr:to>
      <xdr:col>30</xdr:col>
      <xdr:colOff>624417</xdr:colOff>
      <xdr:row>33</xdr:row>
      <xdr:rowOff>169333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199097</xdr:colOff>
      <xdr:row>30</xdr:row>
      <xdr:rowOff>43919</xdr:rowOff>
    </xdr:from>
    <xdr:to>
      <xdr:col>31</xdr:col>
      <xdr:colOff>486833</xdr:colOff>
      <xdr:row>45</xdr:row>
      <xdr:rowOff>82018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201746</xdr:colOff>
      <xdr:row>45</xdr:row>
      <xdr:rowOff>86252</xdr:rowOff>
    </xdr:from>
    <xdr:to>
      <xdr:col>31</xdr:col>
      <xdr:colOff>476250</xdr:colOff>
      <xdr:row>60</xdr:row>
      <xdr:rowOff>105834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BB90"/>
  <sheetViews>
    <sheetView topLeftCell="A56" zoomScale="70" zoomScaleNormal="70" workbookViewId="0">
      <selection activeCell="G65" sqref="G65"/>
    </sheetView>
  </sheetViews>
  <sheetFormatPr defaultColWidth="11" defaultRowHeight="15.75" x14ac:dyDescent="0.25"/>
  <cols>
    <col min="2" max="2" width="28.875" customWidth="1"/>
    <col min="3" max="3" width="33.125" bestFit="1" customWidth="1"/>
    <col min="4" max="4" width="9.25" customWidth="1"/>
    <col min="5" max="5" width="13.375" bestFit="1" customWidth="1"/>
    <col min="6" max="6" width="27.125" bestFit="1" customWidth="1"/>
    <col min="7" max="7" width="20.625" bestFit="1" customWidth="1"/>
    <col min="8" max="8" width="34.5" customWidth="1"/>
    <col min="9" max="9" width="20.125" bestFit="1" customWidth="1"/>
    <col min="10" max="10" width="28.875" bestFit="1" customWidth="1"/>
    <col min="11" max="11" width="16.375" bestFit="1" customWidth="1"/>
    <col min="12" max="12" width="21.5" customWidth="1"/>
    <col min="13" max="13" width="19.375" customWidth="1"/>
    <col min="14" max="14" width="26" customWidth="1"/>
    <col min="15" max="15" width="28.875" customWidth="1"/>
    <col min="16" max="16" width="36.75" bestFit="1" customWidth="1"/>
    <col min="17" max="17" width="9.25" customWidth="1"/>
    <col min="18" max="18" width="10.875" customWidth="1"/>
    <col min="19" max="19" width="15.875" bestFit="1" customWidth="1"/>
    <col min="20" max="20" width="19.625" bestFit="1" customWidth="1"/>
    <col min="21" max="21" width="28.875" customWidth="1"/>
    <col min="22" max="22" width="8" customWidth="1"/>
    <col min="23" max="23" width="9.25" customWidth="1"/>
    <col min="24" max="24" width="10.875" customWidth="1"/>
    <col min="25" max="25" width="27.375" bestFit="1" customWidth="1"/>
    <col min="26" max="26" width="28.875" customWidth="1"/>
    <col min="27" max="27" width="8" customWidth="1"/>
    <col min="28" max="28" width="9.25" customWidth="1"/>
    <col min="29" max="30" width="10.875" customWidth="1"/>
    <col min="31" max="31" width="28.875" customWidth="1"/>
    <col min="32" max="32" width="8" customWidth="1"/>
    <col min="33" max="33" width="9.25" customWidth="1"/>
    <col min="34" max="34" width="10.875" customWidth="1"/>
    <col min="35" max="35" width="1.5" customWidth="1"/>
    <col min="36" max="36" width="28.875" customWidth="1"/>
    <col min="37" max="37" width="8" customWidth="1"/>
    <col min="38" max="38" width="9.25" customWidth="1"/>
    <col min="39" max="39" width="10.875" customWidth="1"/>
    <col min="40" max="40" width="7.5" customWidth="1"/>
    <col min="41" max="41" width="28.875" customWidth="1"/>
    <col min="42" max="42" width="8" customWidth="1"/>
    <col min="43" max="43" width="9.25" customWidth="1"/>
    <col min="44" max="44" width="10.875" customWidth="1"/>
    <col min="45" max="45" width="36.875" bestFit="1" customWidth="1"/>
    <col min="46" max="46" width="28.875" bestFit="1" customWidth="1"/>
    <col min="47" max="47" width="8" customWidth="1"/>
    <col min="48" max="48" width="9.25" customWidth="1"/>
    <col min="49" max="49" width="10.875" customWidth="1"/>
    <col min="50" max="50" width="9.25" customWidth="1"/>
    <col min="51" max="51" width="28.875" customWidth="1"/>
    <col min="52" max="52" width="8" customWidth="1"/>
    <col min="53" max="53" width="9.25" customWidth="1"/>
    <col min="54" max="54" width="10.875" customWidth="1"/>
    <col min="55" max="55" width="28.875" customWidth="1"/>
    <col min="56" max="56" width="8" customWidth="1"/>
    <col min="57" max="57" width="9.25" customWidth="1"/>
    <col min="58" max="58" width="10.875" customWidth="1"/>
    <col min="59" max="59" width="36.875" bestFit="1" customWidth="1"/>
    <col min="60" max="60" width="28.375" bestFit="1" customWidth="1"/>
    <col min="61" max="61" width="7.5" customWidth="1"/>
    <col min="62" max="62" width="28.875" customWidth="1"/>
    <col min="63" max="63" width="8" customWidth="1"/>
    <col min="64" max="64" width="9.25" customWidth="1"/>
    <col min="65" max="65" width="10.875" customWidth="1"/>
    <col min="66" max="66" width="36.875" bestFit="1" customWidth="1"/>
    <col min="67" max="67" width="28.375" bestFit="1" customWidth="1"/>
    <col min="68" max="68" width="7.5" customWidth="1"/>
    <col min="69" max="69" width="28.875" customWidth="1"/>
    <col min="70" max="70" width="8" customWidth="1"/>
    <col min="71" max="71" width="9.25" customWidth="1"/>
    <col min="72" max="72" width="10.875" customWidth="1"/>
    <col min="73" max="73" width="36.875" bestFit="1" customWidth="1"/>
    <col min="74" max="74" width="28.375" bestFit="1" customWidth="1"/>
    <col min="75" max="75" width="7.5" customWidth="1"/>
    <col min="76" max="76" width="11" customWidth="1"/>
    <col min="77" max="77" width="11.875" customWidth="1"/>
    <col min="78" max="78" width="35.5" bestFit="1" customWidth="1"/>
    <col min="79" max="79" width="27.125" bestFit="1" customWidth="1"/>
    <col min="81" max="81" width="27.375" bestFit="1" customWidth="1"/>
    <col min="82" max="82" width="7.5" customWidth="1"/>
    <col min="83" max="83" width="11" customWidth="1"/>
    <col min="84" max="84" width="13.5" customWidth="1"/>
    <col min="85" max="85" width="35.5" bestFit="1" customWidth="1"/>
    <col min="86" max="86" width="27.125" bestFit="1" customWidth="1"/>
  </cols>
  <sheetData>
    <row r="2" spans="2:16" ht="12.95" customHeight="1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2:16" ht="12.95" customHeight="1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2:16" ht="15" customHeight="1" x14ac:dyDescent="0.25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6" spans="2:16" x14ac:dyDescent="0.25">
      <c r="B6" s="86" t="s">
        <v>183</v>
      </c>
      <c r="C6" s="87"/>
      <c r="D6" s="87"/>
      <c r="E6" s="87"/>
      <c r="F6" s="87"/>
      <c r="G6" s="88"/>
      <c r="I6" s="84" t="s">
        <v>81</v>
      </c>
      <c r="J6" s="85"/>
    </row>
    <row r="7" spans="2:16" x14ac:dyDescent="0.25">
      <c r="B7" s="14" t="s">
        <v>18</v>
      </c>
      <c r="C7" s="91" t="s">
        <v>85</v>
      </c>
      <c r="D7" s="92"/>
      <c r="E7" s="92"/>
      <c r="F7" s="93"/>
      <c r="G7" s="14" t="s">
        <v>86</v>
      </c>
      <c r="I7" s="5" t="s">
        <v>82</v>
      </c>
      <c r="J7" s="40">
        <f>'Costi operativi diretti'!E10</f>
        <v>42340968.796435758</v>
      </c>
    </row>
    <row r="8" spans="2:16" x14ac:dyDescent="0.25">
      <c r="B8" s="14" t="s">
        <v>115</v>
      </c>
      <c r="C8" s="91">
        <v>0.25</v>
      </c>
      <c r="D8" s="92"/>
      <c r="E8" s="92"/>
      <c r="F8" s="93"/>
      <c r="G8" s="14">
        <v>0.25</v>
      </c>
      <c r="I8" s="5" t="s">
        <v>83</v>
      </c>
      <c r="J8" s="40">
        <f>'Costi opertivi indiretti '!C10</f>
        <v>16525913.357060608</v>
      </c>
    </row>
    <row r="9" spans="2:16" x14ac:dyDescent="0.25">
      <c r="B9" s="14" t="s">
        <v>84</v>
      </c>
      <c r="C9" s="91">
        <v>1</v>
      </c>
      <c r="D9" s="92"/>
      <c r="E9" s="92"/>
      <c r="F9" s="93"/>
      <c r="G9" s="14">
        <v>1</v>
      </c>
      <c r="I9" s="5" t="s">
        <v>21</v>
      </c>
      <c r="J9" s="40">
        <f>SUM(J7:J8)</f>
        <v>58866882.15349637</v>
      </c>
    </row>
    <row r="10" spans="2:16" x14ac:dyDescent="0.25">
      <c r="B10" s="14" t="s">
        <v>16</v>
      </c>
      <c r="C10" s="91">
        <v>6</v>
      </c>
      <c r="D10" s="92"/>
      <c r="E10" s="92"/>
      <c r="F10" s="93"/>
      <c r="G10" s="14">
        <v>6</v>
      </c>
      <c r="J10" s="39"/>
    </row>
    <row r="11" spans="2:16" x14ac:dyDescent="0.25">
      <c r="I11" t="s">
        <v>193</v>
      </c>
    </row>
    <row r="12" spans="2:16" x14ac:dyDescent="0.25">
      <c r="B12" s="94" t="s">
        <v>183</v>
      </c>
      <c r="C12" s="95"/>
      <c r="D12" s="95"/>
      <c r="E12" s="95"/>
      <c r="F12" s="95"/>
      <c r="G12" s="96"/>
      <c r="I12">
        <f>H83</f>
        <v>40311867.141212143</v>
      </c>
    </row>
    <row r="13" spans="2:16" x14ac:dyDescent="0.25">
      <c r="B13" s="72" t="s">
        <v>18</v>
      </c>
      <c r="C13" s="98" t="s">
        <v>191</v>
      </c>
      <c r="D13" s="99"/>
      <c r="E13" s="99"/>
      <c r="F13" s="99"/>
      <c r="G13" s="100"/>
    </row>
    <row r="14" spans="2:16" x14ac:dyDescent="0.25">
      <c r="B14" s="72" t="s">
        <v>115</v>
      </c>
      <c r="C14" s="98">
        <v>0.1</v>
      </c>
      <c r="D14" s="99"/>
      <c r="E14" s="99"/>
      <c r="F14" s="99"/>
      <c r="G14" s="100"/>
    </row>
    <row r="15" spans="2:16" x14ac:dyDescent="0.25">
      <c r="B15" s="72" t="s">
        <v>84</v>
      </c>
      <c r="C15" s="98">
        <v>1</v>
      </c>
      <c r="D15" s="99"/>
      <c r="E15" s="99"/>
      <c r="F15" s="99"/>
      <c r="G15" s="100"/>
    </row>
    <row r="16" spans="2:16" x14ac:dyDescent="0.25">
      <c r="B16" s="72" t="s">
        <v>16</v>
      </c>
      <c r="C16" s="98">
        <v>2</v>
      </c>
      <c r="D16" s="99"/>
      <c r="E16" s="99"/>
      <c r="F16" s="99"/>
      <c r="G16" s="100"/>
    </row>
    <row r="23" spans="2:54" x14ac:dyDescent="0.25">
      <c r="B23" s="83" t="s">
        <v>115</v>
      </c>
      <c r="C23" s="83"/>
      <c r="D23" s="83"/>
      <c r="E23" s="83"/>
      <c r="H23" s="83" t="s">
        <v>135</v>
      </c>
      <c r="I23" s="83"/>
      <c r="J23" s="83"/>
      <c r="K23" s="83"/>
      <c r="O23" s="83" t="s">
        <v>116</v>
      </c>
      <c r="P23" s="83"/>
      <c r="Q23" s="83"/>
      <c r="R23" s="83"/>
      <c r="U23" s="83" t="s">
        <v>117</v>
      </c>
      <c r="V23" s="83"/>
      <c r="W23" s="83"/>
      <c r="X23" s="83"/>
      <c r="Z23" s="83" t="s">
        <v>118</v>
      </c>
      <c r="AA23" s="83"/>
      <c r="AB23" s="83"/>
      <c r="AC23" s="83"/>
      <c r="AE23" s="83" t="s">
        <v>119</v>
      </c>
      <c r="AF23" s="83"/>
      <c r="AG23" s="83"/>
      <c r="AH23" s="83"/>
      <c r="AI23" t="s">
        <v>120</v>
      </c>
      <c r="AJ23" s="83" t="s">
        <v>121</v>
      </c>
      <c r="AK23" s="83"/>
      <c r="AL23" s="83"/>
      <c r="AM23" s="83"/>
      <c r="AO23" s="83" t="s">
        <v>122</v>
      </c>
      <c r="AP23" s="83"/>
      <c r="AQ23" s="83"/>
      <c r="AR23" s="83"/>
      <c r="AT23" s="83" t="s">
        <v>123</v>
      </c>
      <c r="AU23" s="83"/>
      <c r="AV23" s="83"/>
      <c r="AW23" s="83"/>
      <c r="AY23" s="81" t="s">
        <v>124</v>
      </c>
      <c r="AZ23" s="82"/>
      <c r="BA23" s="82"/>
      <c r="BB23" s="82"/>
    </row>
    <row r="24" spans="2:54" x14ac:dyDescent="0.25">
      <c r="B24" s="2" t="s">
        <v>7</v>
      </c>
      <c r="C24" s="2" t="s">
        <v>8</v>
      </c>
      <c r="D24" s="2" t="s">
        <v>9</v>
      </c>
      <c r="E24" s="2" t="s">
        <v>11</v>
      </c>
      <c r="H24" s="2" t="s">
        <v>208</v>
      </c>
      <c r="I24" s="2" t="s">
        <v>8</v>
      </c>
      <c r="J24" s="2" t="s">
        <v>9</v>
      </c>
      <c r="K24" s="2" t="s">
        <v>11</v>
      </c>
      <c r="O24" s="2" t="s">
        <v>7</v>
      </c>
      <c r="P24" s="2" t="s">
        <v>8</v>
      </c>
      <c r="Q24" s="2" t="s">
        <v>9</v>
      </c>
      <c r="R24" s="2" t="s">
        <v>11</v>
      </c>
      <c r="U24" s="2" t="s">
        <v>7</v>
      </c>
      <c r="V24" s="2" t="s">
        <v>8</v>
      </c>
      <c r="W24" s="2" t="s">
        <v>9</v>
      </c>
      <c r="X24" s="2" t="s">
        <v>11</v>
      </c>
      <c r="Z24" s="2" t="s">
        <v>7</v>
      </c>
      <c r="AA24" s="2" t="s">
        <v>8</v>
      </c>
      <c r="AB24" s="2" t="s">
        <v>9</v>
      </c>
      <c r="AC24" s="2" t="s">
        <v>11</v>
      </c>
      <c r="AE24" s="2" t="s">
        <v>7</v>
      </c>
      <c r="AF24" s="2" t="s">
        <v>8</v>
      </c>
      <c r="AG24" s="2" t="s">
        <v>9</v>
      </c>
      <c r="AH24" s="2" t="s">
        <v>11</v>
      </c>
      <c r="AJ24" s="2" t="s">
        <v>7</v>
      </c>
      <c r="AK24" s="2" t="s">
        <v>8</v>
      </c>
      <c r="AL24" s="2" t="s">
        <v>9</v>
      </c>
      <c r="AM24" s="2" t="s">
        <v>11</v>
      </c>
      <c r="AO24" s="2" t="s">
        <v>7</v>
      </c>
      <c r="AP24" s="2" t="s">
        <v>8</v>
      </c>
      <c r="AQ24" s="2" t="s">
        <v>9</v>
      </c>
      <c r="AR24" s="2" t="s">
        <v>11</v>
      </c>
      <c r="AT24" s="2" t="s">
        <v>7</v>
      </c>
      <c r="AU24" s="2" t="s">
        <v>8</v>
      </c>
      <c r="AV24" s="2" t="s">
        <v>9</v>
      </c>
      <c r="AW24" s="2" t="s">
        <v>11</v>
      </c>
      <c r="AY24" s="2" t="s">
        <v>7</v>
      </c>
      <c r="AZ24" s="2" t="s">
        <v>8</v>
      </c>
      <c r="BA24" s="2" t="s">
        <v>9</v>
      </c>
      <c r="BB24" s="2" t="s">
        <v>11</v>
      </c>
    </row>
    <row r="25" spans="2:54" x14ac:dyDescent="0.25">
      <c r="B25" s="1" t="s">
        <v>5</v>
      </c>
      <c r="C25" s="1">
        <v>1</v>
      </c>
      <c r="D25" s="3">
        <f>F70</f>
        <v>219226.91201586655</v>
      </c>
      <c r="E25" s="3">
        <f>D25*C25</f>
        <v>219226.91201586655</v>
      </c>
      <c r="H25" s="1" t="s">
        <v>209</v>
      </c>
      <c r="I25" s="1">
        <v>1</v>
      </c>
      <c r="J25" s="3">
        <f>F70</f>
        <v>219226.91201586655</v>
      </c>
      <c r="K25" s="3">
        <f>J25*I25</f>
        <v>219226.91201586655</v>
      </c>
      <c r="O25" s="1" t="s">
        <v>5</v>
      </c>
      <c r="P25" s="1">
        <v>3</v>
      </c>
      <c r="Q25" s="3">
        <f>F70</f>
        <v>219226.91201586655</v>
      </c>
      <c r="R25" s="3">
        <f>Q25*P25</f>
        <v>657680.7360475997</v>
      </c>
      <c r="U25" s="1" t="s">
        <v>5</v>
      </c>
      <c r="V25" s="1">
        <v>4</v>
      </c>
      <c r="W25" s="3">
        <f>F70</f>
        <v>219226.91201586655</v>
      </c>
      <c r="X25" s="3">
        <f>W25*V25</f>
        <v>876907.64806346619</v>
      </c>
      <c r="Z25" s="1" t="s">
        <v>5</v>
      </c>
      <c r="AA25" s="1">
        <v>5</v>
      </c>
      <c r="AB25" s="3">
        <f>F70</f>
        <v>219226.91201586655</v>
      </c>
      <c r="AC25" s="3">
        <f>AB25*AA25</f>
        <v>1096134.5600793327</v>
      </c>
      <c r="AE25" s="1" t="s">
        <v>5</v>
      </c>
      <c r="AF25" s="1">
        <v>6</v>
      </c>
      <c r="AG25" s="3">
        <f>F70</f>
        <v>219226.91201586655</v>
      </c>
      <c r="AH25" s="3">
        <f>AG25*AF25</f>
        <v>1315361.4720951994</v>
      </c>
      <c r="AJ25" s="1" t="s">
        <v>5</v>
      </c>
      <c r="AK25" s="1">
        <v>7</v>
      </c>
      <c r="AL25" s="3">
        <f>F70</f>
        <v>219226.91201586655</v>
      </c>
      <c r="AM25" s="3">
        <f>AL25*AK25</f>
        <v>1534588.3841110659</v>
      </c>
      <c r="AO25" s="1" t="s">
        <v>5</v>
      </c>
      <c r="AP25" s="1">
        <v>8</v>
      </c>
      <c r="AQ25" s="3">
        <f>F70</f>
        <v>219226.91201586655</v>
      </c>
      <c r="AR25" s="3">
        <f>AQ25*AP25</f>
        <v>1753815.2961269324</v>
      </c>
      <c r="AT25" s="1" t="s">
        <v>5</v>
      </c>
      <c r="AU25" s="1">
        <v>9</v>
      </c>
      <c r="AV25" s="3">
        <f>F70</f>
        <v>219226.91201586655</v>
      </c>
      <c r="AW25" s="3">
        <f>AV25*AU25</f>
        <v>1973042.2081427989</v>
      </c>
      <c r="AY25" s="1" t="s">
        <v>5</v>
      </c>
      <c r="AZ25" s="1">
        <v>10</v>
      </c>
      <c r="BA25" s="3">
        <f>F70</f>
        <v>219226.91201586655</v>
      </c>
      <c r="BB25" s="3">
        <f>BA25*AZ25</f>
        <v>2192269.1201586653</v>
      </c>
    </row>
    <row r="26" spans="2:54" x14ac:dyDescent="0.25">
      <c r="B26" s="1" t="s">
        <v>6</v>
      </c>
      <c r="C26" s="1">
        <v>1</v>
      </c>
      <c r="D26" s="3">
        <f>F71</f>
        <v>85724.630931644453</v>
      </c>
      <c r="E26" s="3">
        <f t="shared" ref="E26:E37" si="0">D26*C26</f>
        <v>85724.630931644453</v>
      </c>
      <c r="H26" s="1" t="s">
        <v>210</v>
      </c>
      <c r="I26" s="1">
        <v>2</v>
      </c>
      <c r="J26" s="3">
        <f>F71</f>
        <v>85724.630931644453</v>
      </c>
      <c r="K26" s="3">
        <f t="shared" ref="K26:K37" si="1">J26*I26</f>
        <v>171449.26186328891</v>
      </c>
      <c r="O26" s="1" t="s">
        <v>6</v>
      </c>
      <c r="P26" s="1">
        <v>5</v>
      </c>
      <c r="Q26" s="3">
        <f>F71</f>
        <v>85724.630931644453</v>
      </c>
      <c r="R26" s="3">
        <f t="shared" ref="R26:R37" si="2">Q26*P26</f>
        <v>428623.15465822228</v>
      </c>
      <c r="U26" s="1" t="s">
        <v>6</v>
      </c>
      <c r="V26" s="1">
        <v>6</v>
      </c>
      <c r="W26" s="3">
        <f>F71</f>
        <v>85724.630931644453</v>
      </c>
      <c r="X26" s="3">
        <f t="shared" ref="X26:X37" si="3">W26*V26</f>
        <v>514347.78558986669</v>
      </c>
      <c r="Z26" s="1" t="s">
        <v>6</v>
      </c>
      <c r="AA26" s="1">
        <v>7</v>
      </c>
      <c r="AB26" s="3">
        <f>F71</f>
        <v>85724.630931644453</v>
      </c>
      <c r="AC26" s="3">
        <f t="shared" ref="AC26:AC37" si="4">AB26*AA26</f>
        <v>600072.41652151116</v>
      </c>
      <c r="AE26" s="1" t="s">
        <v>6</v>
      </c>
      <c r="AF26" s="1">
        <v>8</v>
      </c>
      <c r="AG26" s="3">
        <f>F71</f>
        <v>85724.630931644453</v>
      </c>
      <c r="AH26" s="3">
        <f t="shared" ref="AH26:AH37" si="5">AG26*AF26</f>
        <v>685797.04745315562</v>
      </c>
      <c r="AJ26" s="1" t="s">
        <v>6</v>
      </c>
      <c r="AK26" s="1">
        <v>9</v>
      </c>
      <c r="AL26" s="3">
        <f>F71</f>
        <v>85724.630931644453</v>
      </c>
      <c r="AM26" s="3">
        <f t="shared" ref="AM26:AM37" si="6">AL26*AK26</f>
        <v>771521.67838480009</v>
      </c>
      <c r="AO26" s="1" t="s">
        <v>6</v>
      </c>
      <c r="AP26" s="1">
        <v>10</v>
      </c>
      <c r="AQ26" s="3">
        <f>F71</f>
        <v>85724.630931644453</v>
      </c>
      <c r="AR26" s="3">
        <f t="shared" ref="AR26:AR37" si="7">AQ26*AP26</f>
        <v>857246.30931644456</v>
      </c>
      <c r="AT26" s="1" t="s">
        <v>6</v>
      </c>
      <c r="AU26" s="1">
        <v>11</v>
      </c>
      <c r="AV26" s="3">
        <f>F71</f>
        <v>85724.630931644453</v>
      </c>
      <c r="AW26" s="3">
        <f t="shared" ref="AW26:AW37" si="8">AV26*AU26</f>
        <v>942970.94024808903</v>
      </c>
      <c r="AY26" s="1" t="s">
        <v>6</v>
      </c>
      <c r="AZ26" s="1">
        <v>20</v>
      </c>
      <c r="BA26" s="3">
        <f>F71</f>
        <v>85724.630931644453</v>
      </c>
      <c r="BB26" s="3">
        <f t="shared" ref="BB26:BB37" si="9">BA26*AZ26</f>
        <v>1714492.6186328891</v>
      </c>
    </row>
    <row r="27" spans="2:54" x14ac:dyDescent="0.25">
      <c r="B27" s="1" t="s">
        <v>3</v>
      </c>
      <c r="C27" s="1">
        <v>0</v>
      </c>
      <c r="D27" s="3">
        <f>F72</f>
        <v>4670.1675815194794</v>
      </c>
      <c r="E27" s="3">
        <f t="shared" si="0"/>
        <v>0</v>
      </c>
      <c r="H27" s="1" t="s">
        <v>211</v>
      </c>
      <c r="I27" s="1">
        <v>2</v>
      </c>
      <c r="J27" s="3">
        <f>F72</f>
        <v>4670.1675815194794</v>
      </c>
      <c r="K27" s="3">
        <f t="shared" si="1"/>
        <v>9340.3351630389589</v>
      </c>
      <c r="O27" s="1" t="s">
        <v>3</v>
      </c>
      <c r="P27" s="1">
        <v>8</v>
      </c>
      <c r="Q27" s="3">
        <f>F72</f>
        <v>4670.1675815194794</v>
      </c>
      <c r="R27" s="3">
        <f t="shared" si="2"/>
        <v>37361.340652155835</v>
      </c>
      <c r="U27" s="1" t="s">
        <v>3</v>
      </c>
      <c r="V27" s="1">
        <v>6</v>
      </c>
      <c r="W27" s="3">
        <f>F72</f>
        <v>4670.1675815194794</v>
      </c>
      <c r="X27" s="3">
        <f t="shared" si="3"/>
        <v>28021.005489116877</v>
      </c>
      <c r="Z27" s="1" t="s">
        <v>3</v>
      </c>
      <c r="AA27" s="1">
        <v>7</v>
      </c>
      <c r="AB27" s="3">
        <f>F72</f>
        <v>4670.1675815194794</v>
      </c>
      <c r="AC27" s="3">
        <f t="shared" si="4"/>
        <v>32691.173070636356</v>
      </c>
      <c r="AE27" s="1" t="s">
        <v>3</v>
      </c>
      <c r="AF27" s="1">
        <v>8</v>
      </c>
      <c r="AG27" s="3">
        <f>F72</f>
        <v>4670.1675815194794</v>
      </c>
      <c r="AH27" s="3">
        <f t="shared" si="5"/>
        <v>37361.340652155835</v>
      </c>
      <c r="AJ27" s="1" t="s">
        <v>3</v>
      </c>
      <c r="AK27" s="1">
        <v>9</v>
      </c>
      <c r="AL27" s="3">
        <f>F72</f>
        <v>4670.1675815194794</v>
      </c>
      <c r="AM27" s="3">
        <f t="shared" si="6"/>
        <v>42031.508233675311</v>
      </c>
      <c r="AO27" s="1" t="s">
        <v>3</v>
      </c>
      <c r="AP27" s="1">
        <v>10</v>
      </c>
      <c r="AQ27" s="3">
        <f>F72</f>
        <v>4670.1675815194794</v>
      </c>
      <c r="AR27" s="3">
        <f t="shared" si="7"/>
        <v>46701.675815194794</v>
      </c>
      <c r="AT27" s="1" t="s">
        <v>3</v>
      </c>
      <c r="AU27" s="1">
        <v>11</v>
      </c>
      <c r="AV27" s="3">
        <f>F72</f>
        <v>4670.1675815194794</v>
      </c>
      <c r="AW27" s="3">
        <f t="shared" si="8"/>
        <v>51371.843396714277</v>
      </c>
      <c r="AY27" s="1" t="s">
        <v>3</v>
      </c>
      <c r="AZ27" s="1">
        <v>20</v>
      </c>
      <c r="BA27" s="3">
        <f>F72</f>
        <v>4670.1675815194794</v>
      </c>
      <c r="BB27" s="3">
        <f t="shared" si="9"/>
        <v>93403.351630389589</v>
      </c>
    </row>
    <row r="28" spans="2:54" x14ac:dyDescent="0.25">
      <c r="B28" s="1" t="s">
        <v>4</v>
      </c>
      <c r="C28" s="1">
        <v>0</v>
      </c>
      <c r="D28" s="3">
        <f>F73</f>
        <v>36351.63690257167</v>
      </c>
      <c r="E28" s="3">
        <f t="shared" si="0"/>
        <v>0</v>
      </c>
      <c r="H28" s="1" t="s">
        <v>4</v>
      </c>
      <c r="I28" s="1">
        <v>1</v>
      </c>
      <c r="J28" s="3">
        <f>F73</f>
        <v>36351.63690257167</v>
      </c>
      <c r="K28" s="3">
        <f t="shared" si="1"/>
        <v>36351.63690257167</v>
      </c>
      <c r="O28" s="1" t="s">
        <v>4</v>
      </c>
      <c r="P28" s="1">
        <v>2</v>
      </c>
      <c r="Q28" s="3">
        <f>F73</f>
        <v>36351.63690257167</v>
      </c>
      <c r="R28" s="3">
        <f t="shared" si="2"/>
        <v>72703.273805143341</v>
      </c>
      <c r="U28" s="1" t="s">
        <v>4</v>
      </c>
      <c r="V28" s="1">
        <v>2</v>
      </c>
      <c r="W28" s="3">
        <f>F73</f>
        <v>36351.63690257167</v>
      </c>
      <c r="X28" s="3">
        <f t="shared" si="3"/>
        <v>72703.273805143341</v>
      </c>
      <c r="Z28" s="1" t="s">
        <v>4</v>
      </c>
      <c r="AA28" s="1">
        <v>2</v>
      </c>
      <c r="AB28" s="3">
        <f>F73</f>
        <v>36351.63690257167</v>
      </c>
      <c r="AC28" s="3">
        <f t="shared" si="4"/>
        <v>72703.273805143341</v>
      </c>
      <c r="AE28" s="1" t="s">
        <v>4</v>
      </c>
      <c r="AF28" s="1">
        <v>2</v>
      </c>
      <c r="AG28" s="3">
        <f>F73</f>
        <v>36351.63690257167</v>
      </c>
      <c r="AH28" s="3">
        <f t="shared" si="5"/>
        <v>72703.273805143341</v>
      </c>
      <c r="AJ28" s="1" t="s">
        <v>4</v>
      </c>
      <c r="AK28" s="1">
        <v>2</v>
      </c>
      <c r="AL28" s="3">
        <f>F73</f>
        <v>36351.63690257167</v>
      </c>
      <c r="AM28" s="3">
        <f t="shared" si="6"/>
        <v>72703.273805143341</v>
      </c>
      <c r="AO28" s="1" t="s">
        <v>4</v>
      </c>
      <c r="AP28" s="1">
        <v>3</v>
      </c>
      <c r="AQ28" s="3">
        <f>F73</f>
        <v>36351.63690257167</v>
      </c>
      <c r="AR28" s="3">
        <f t="shared" si="7"/>
        <v>109054.91070771501</v>
      </c>
      <c r="AT28" s="1" t="s">
        <v>4</v>
      </c>
      <c r="AU28" s="1">
        <v>3</v>
      </c>
      <c r="AV28" s="3">
        <f>F73</f>
        <v>36351.63690257167</v>
      </c>
      <c r="AW28" s="3">
        <f t="shared" si="8"/>
        <v>109054.91070771501</v>
      </c>
      <c r="AY28" s="1" t="s">
        <v>4</v>
      </c>
      <c r="AZ28" s="1">
        <v>5</v>
      </c>
      <c r="BA28" s="3">
        <f>F73</f>
        <v>36351.63690257167</v>
      </c>
      <c r="BB28" s="3">
        <f t="shared" si="9"/>
        <v>181758.18451285834</v>
      </c>
    </row>
    <row r="29" spans="2:54" x14ac:dyDescent="0.25">
      <c r="B29" s="1" t="s">
        <v>14</v>
      </c>
      <c r="C29" s="1">
        <v>0</v>
      </c>
      <c r="D29" s="3">
        <v>30000</v>
      </c>
      <c r="E29" s="3">
        <f t="shared" si="0"/>
        <v>0</v>
      </c>
      <c r="H29" s="1" t="s">
        <v>212</v>
      </c>
      <c r="I29" s="1">
        <v>0</v>
      </c>
      <c r="J29" s="3">
        <v>30000</v>
      </c>
      <c r="K29" s="3">
        <f t="shared" si="1"/>
        <v>0</v>
      </c>
      <c r="O29" s="1" t="s">
        <v>14</v>
      </c>
      <c r="P29" s="1">
        <v>0</v>
      </c>
      <c r="Q29" s="3">
        <v>30000</v>
      </c>
      <c r="R29" s="3">
        <f t="shared" si="2"/>
        <v>0</v>
      </c>
      <c r="U29" s="1" t="s">
        <v>14</v>
      </c>
      <c r="V29" s="1">
        <v>0</v>
      </c>
      <c r="W29" s="3">
        <v>30000</v>
      </c>
      <c r="X29" s="3">
        <f t="shared" si="3"/>
        <v>0</v>
      </c>
      <c r="Z29" s="1" t="s">
        <v>14</v>
      </c>
      <c r="AA29" s="1">
        <v>0</v>
      </c>
      <c r="AB29" s="3">
        <v>30000</v>
      </c>
      <c r="AC29" s="3">
        <f t="shared" si="4"/>
        <v>0</v>
      </c>
      <c r="AE29" s="1" t="s">
        <v>14</v>
      </c>
      <c r="AF29" s="1">
        <v>0</v>
      </c>
      <c r="AG29" s="3">
        <v>30000</v>
      </c>
      <c r="AH29" s="3">
        <f t="shared" si="5"/>
        <v>0</v>
      </c>
      <c r="AJ29" s="1" t="s">
        <v>14</v>
      </c>
      <c r="AK29" s="1">
        <v>0</v>
      </c>
      <c r="AL29" s="3">
        <v>30000</v>
      </c>
      <c r="AM29" s="3">
        <f t="shared" si="6"/>
        <v>0</v>
      </c>
      <c r="AO29" s="1" t="s">
        <v>14</v>
      </c>
      <c r="AP29" s="1">
        <v>0</v>
      </c>
      <c r="AQ29" s="3">
        <v>30000</v>
      </c>
      <c r="AR29" s="3">
        <f t="shared" si="7"/>
        <v>0</v>
      </c>
      <c r="AT29" s="1" t="s">
        <v>14</v>
      </c>
      <c r="AU29" s="1">
        <v>0</v>
      </c>
      <c r="AV29" s="3">
        <v>30000</v>
      </c>
      <c r="AW29" s="3">
        <f t="shared" si="8"/>
        <v>0</v>
      </c>
      <c r="AY29" s="1" t="s">
        <v>14</v>
      </c>
      <c r="AZ29" s="1">
        <v>0</v>
      </c>
      <c r="BA29" s="3">
        <v>30000</v>
      </c>
      <c r="BB29" s="3">
        <f t="shared" si="9"/>
        <v>0</v>
      </c>
    </row>
    <row r="30" spans="2:54" x14ac:dyDescent="0.25">
      <c r="B30" s="1" t="s">
        <v>13</v>
      </c>
      <c r="C30" s="1">
        <v>0</v>
      </c>
      <c r="D30" s="3">
        <v>80000</v>
      </c>
      <c r="E30" s="3">
        <f t="shared" si="0"/>
        <v>0</v>
      </c>
      <c r="H30" s="1" t="s">
        <v>15</v>
      </c>
      <c r="I30" s="1">
        <v>1</v>
      </c>
      <c r="J30" s="3">
        <v>80000</v>
      </c>
      <c r="K30" s="3">
        <f t="shared" si="1"/>
        <v>80000</v>
      </c>
      <c r="O30" s="1" t="s">
        <v>15</v>
      </c>
      <c r="P30" s="1">
        <v>1</v>
      </c>
      <c r="Q30" s="3">
        <v>80000</v>
      </c>
      <c r="R30" s="3">
        <f t="shared" si="2"/>
        <v>80000</v>
      </c>
      <c r="U30" s="1" t="s">
        <v>15</v>
      </c>
      <c r="V30" s="1">
        <v>2</v>
      </c>
      <c r="W30" s="3">
        <v>80000</v>
      </c>
      <c r="X30" s="3">
        <f t="shared" si="3"/>
        <v>160000</v>
      </c>
      <c r="Z30" s="1" t="s">
        <v>15</v>
      </c>
      <c r="AA30" s="1">
        <v>2</v>
      </c>
      <c r="AB30" s="3">
        <v>80000</v>
      </c>
      <c r="AC30" s="3">
        <f t="shared" si="4"/>
        <v>160000</v>
      </c>
      <c r="AE30" s="1" t="s">
        <v>15</v>
      </c>
      <c r="AF30" s="1">
        <v>2</v>
      </c>
      <c r="AG30" s="3">
        <v>80000</v>
      </c>
      <c r="AH30" s="3">
        <f t="shared" si="5"/>
        <v>160000</v>
      </c>
      <c r="AJ30" s="1" t="s">
        <v>15</v>
      </c>
      <c r="AK30" s="1">
        <v>3</v>
      </c>
      <c r="AL30" s="3">
        <v>80000</v>
      </c>
      <c r="AM30" s="3">
        <f t="shared" si="6"/>
        <v>240000</v>
      </c>
      <c r="AO30" s="1" t="s">
        <v>15</v>
      </c>
      <c r="AP30" s="1">
        <v>4</v>
      </c>
      <c r="AQ30" s="3">
        <v>80000</v>
      </c>
      <c r="AR30" s="3">
        <f t="shared" si="7"/>
        <v>320000</v>
      </c>
      <c r="AT30" s="1" t="s">
        <v>15</v>
      </c>
      <c r="AU30" s="1">
        <v>4</v>
      </c>
      <c r="AV30" s="3">
        <v>80000</v>
      </c>
      <c r="AW30" s="3">
        <f t="shared" si="8"/>
        <v>320000</v>
      </c>
      <c r="AY30" s="1" t="s">
        <v>15</v>
      </c>
      <c r="AZ30" s="1">
        <v>10</v>
      </c>
      <c r="BA30" s="3">
        <v>80000</v>
      </c>
      <c r="BB30" s="3">
        <f t="shared" si="9"/>
        <v>800000</v>
      </c>
    </row>
    <row r="31" spans="2:54" x14ac:dyDescent="0.25">
      <c r="B31" s="1" t="s">
        <v>12</v>
      </c>
      <c r="C31" s="1">
        <v>1</v>
      </c>
      <c r="D31" s="3">
        <f>F75</f>
        <v>31820.556536186443</v>
      </c>
      <c r="E31" s="3">
        <f t="shared" si="0"/>
        <v>31820.556536186443</v>
      </c>
      <c r="H31" s="1" t="s">
        <v>213</v>
      </c>
      <c r="I31" s="1">
        <v>1</v>
      </c>
      <c r="J31" s="3">
        <f>F75</f>
        <v>31820.556536186443</v>
      </c>
      <c r="K31" s="3">
        <f t="shared" si="1"/>
        <v>31820.556536186443</v>
      </c>
      <c r="O31" s="1" t="s">
        <v>12</v>
      </c>
      <c r="P31" s="1">
        <v>1</v>
      </c>
      <c r="Q31" s="3">
        <f>F75</f>
        <v>31820.556536186443</v>
      </c>
      <c r="R31" s="3">
        <f t="shared" si="2"/>
        <v>31820.556536186443</v>
      </c>
      <c r="U31" s="1" t="s">
        <v>12</v>
      </c>
      <c r="V31" s="1">
        <v>1</v>
      </c>
      <c r="W31" s="3">
        <v>5000</v>
      </c>
      <c r="X31" s="3">
        <f>F75</f>
        <v>31820.556536186443</v>
      </c>
      <c r="Z31" s="1" t="s">
        <v>12</v>
      </c>
      <c r="AA31" s="1">
        <v>1</v>
      </c>
      <c r="AB31" s="3">
        <f>F75</f>
        <v>31820.556536186443</v>
      </c>
      <c r="AC31" s="3">
        <f t="shared" si="4"/>
        <v>31820.556536186443</v>
      </c>
      <c r="AE31" s="1" t="s">
        <v>12</v>
      </c>
      <c r="AF31" s="1">
        <v>1</v>
      </c>
      <c r="AG31" s="3">
        <f>F75</f>
        <v>31820.556536186443</v>
      </c>
      <c r="AH31" s="3">
        <f t="shared" si="5"/>
        <v>31820.556536186443</v>
      </c>
      <c r="AJ31" s="1" t="s">
        <v>12</v>
      </c>
      <c r="AK31" s="1">
        <v>1</v>
      </c>
      <c r="AL31" s="3">
        <f>F75</f>
        <v>31820.556536186443</v>
      </c>
      <c r="AM31" s="3">
        <f t="shared" si="6"/>
        <v>31820.556536186443</v>
      </c>
      <c r="AO31" s="1" t="s">
        <v>12</v>
      </c>
      <c r="AP31" s="1">
        <v>2</v>
      </c>
      <c r="AQ31" s="3">
        <f>F75</f>
        <v>31820.556536186443</v>
      </c>
      <c r="AR31" s="3">
        <f t="shared" si="7"/>
        <v>63641.113072372886</v>
      </c>
      <c r="AT31" s="1" t="s">
        <v>12</v>
      </c>
      <c r="AU31" s="1">
        <v>2</v>
      </c>
      <c r="AV31" s="3">
        <f>F75</f>
        <v>31820.556536186443</v>
      </c>
      <c r="AW31" s="3">
        <f t="shared" si="8"/>
        <v>63641.113072372886</v>
      </c>
      <c r="AY31" s="1" t="s">
        <v>12</v>
      </c>
      <c r="AZ31" s="1">
        <v>2</v>
      </c>
      <c r="BA31" s="3">
        <f>F75</f>
        <v>31820.556536186443</v>
      </c>
      <c r="BB31" s="3">
        <f t="shared" si="9"/>
        <v>63641.113072372886</v>
      </c>
    </row>
    <row r="32" spans="2:54" x14ac:dyDescent="0.25">
      <c r="B32" s="1" t="s">
        <v>1</v>
      </c>
      <c r="C32" s="1">
        <v>1</v>
      </c>
      <c r="D32" s="3">
        <f>F76</f>
        <v>2557.1051201283917</v>
      </c>
      <c r="E32" s="3">
        <f t="shared" si="0"/>
        <v>2557.1051201283917</v>
      </c>
      <c r="H32" s="1" t="s">
        <v>218</v>
      </c>
      <c r="I32" s="1">
        <v>1</v>
      </c>
      <c r="J32" s="3">
        <f>F76</f>
        <v>2557.1051201283917</v>
      </c>
      <c r="K32" s="3">
        <f t="shared" si="1"/>
        <v>2557.1051201283917</v>
      </c>
      <c r="O32" s="1" t="s">
        <v>1</v>
      </c>
      <c r="P32" s="1">
        <v>1</v>
      </c>
      <c r="Q32" s="3">
        <f>F76</f>
        <v>2557.1051201283917</v>
      </c>
      <c r="R32" s="3">
        <f t="shared" si="2"/>
        <v>2557.1051201283917</v>
      </c>
      <c r="U32" s="1" t="s">
        <v>1</v>
      </c>
      <c r="V32" s="1">
        <v>2</v>
      </c>
      <c r="W32" s="3">
        <f>F76</f>
        <v>2557.1051201283917</v>
      </c>
      <c r="X32" s="3">
        <f>W32*V32</f>
        <v>5114.2102402567834</v>
      </c>
      <c r="Z32" s="1" t="s">
        <v>1</v>
      </c>
      <c r="AA32" s="1">
        <v>1</v>
      </c>
      <c r="AB32" s="3">
        <f>F76</f>
        <v>2557.1051201283917</v>
      </c>
      <c r="AC32" s="3">
        <f t="shared" si="4"/>
        <v>2557.1051201283917</v>
      </c>
      <c r="AE32" s="1" t="s">
        <v>1</v>
      </c>
      <c r="AF32" s="1">
        <v>1</v>
      </c>
      <c r="AG32" s="3">
        <f>F76</f>
        <v>2557.1051201283917</v>
      </c>
      <c r="AH32" s="3">
        <f t="shared" si="5"/>
        <v>2557.1051201283917</v>
      </c>
      <c r="AJ32" s="1" t="s">
        <v>1</v>
      </c>
      <c r="AK32" s="1">
        <v>2</v>
      </c>
      <c r="AL32" s="3">
        <f>F76</f>
        <v>2557.1051201283917</v>
      </c>
      <c r="AM32" s="3">
        <f t="shared" si="6"/>
        <v>5114.2102402567834</v>
      </c>
      <c r="AO32" s="1" t="s">
        <v>1</v>
      </c>
      <c r="AP32" s="1">
        <v>2</v>
      </c>
      <c r="AQ32" s="3">
        <f>F76</f>
        <v>2557.1051201283917</v>
      </c>
      <c r="AR32" s="3">
        <f t="shared" si="7"/>
        <v>5114.2102402567834</v>
      </c>
      <c r="AT32" s="1" t="s">
        <v>1</v>
      </c>
      <c r="AU32" s="1">
        <v>2</v>
      </c>
      <c r="AV32" s="3">
        <f>F76</f>
        <v>2557.1051201283917</v>
      </c>
      <c r="AW32" s="3">
        <f t="shared" si="8"/>
        <v>5114.2102402567834</v>
      </c>
      <c r="AY32" s="1" t="s">
        <v>1</v>
      </c>
      <c r="AZ32" s="1">
        <v>4</v>
      </c>
      <c r="BA32" s="3">
        <f>F76</f>
        <v>2557.1051201283917</v>
      </c>
      <c r="BB32" s="3">
        <f t="shared" si="9"/>
        <v>10228.420480513567</v>
      </c>
    </row>
    <row r="33" spans="2:54" x14ac:dyDescent="0.25">
      <c r="B33" s="1" t="s">
        <v>157</v>
      </c>
      <c r="C33" s="1">
        <v>1</v>
      </c>
      <c r="D33" s="3">
        <f>F77</f>
        <v>35755.875635863173</v>
      </c>
      <c r="E33" s="3">
        <f t="shared" si="0"/>
        <v>35755.875635863173</v>
      </c>
      <c r="H33" s="1" t="s">
        <v>214</v>
      </c>
      <c r="I33" s="1">
        <v>1</v>
      </c>
      <c r="J33" s="3">
        <f>F77</f>
        <v>35755.875635863173</v>
      </c>
      <c r="K33" s="3">
        <f t="shared" si="1"/>
        <v>35755.875635863173</v>
      </c>
      <c r="O33" s="1" t="s">
        <v>159</v>
      </c>
      <c r="P33" s="1">
        <v>1</v>
      </c>
      <c r="Q33" s="3">
        <f>F77</f>
        <v>35755.875635863173</v>
      </c>
      <c r="R33" s="3">
        <f t="shared" si="2"/>
        <v>35755.875635863173</v>
      </c>
      <c r="U33" s="1" t="s">
        <v>158</v>
      </c>
      <c r="V33" s="1">
        <v>1</v>
      </c>
      <c r="W33" s="3">
        <f>F78</f>
        <v>110879.49031782223</v>
      </c>
      <c r="X33" s="3">
        <f t="shared" si="3"/>
        <v>110879.49031782223</v>
      </c>
      <c r="Z33" s="1" t="s">
        <v>158</v>
      </c>
      <c r="AA33" s="1">
        <v>1</v>
      </c>
      <c r="AB33" s="3">
        <f>F78</f>
        <v>110879.49031782223</v>
      </c>
      <c r="AC33" s="3">
        <f t="shared" si="4"/>
        <v>110879.49031782223</v>
      </c>
      <c r="AE33" s="1" t="s">
        <v>157</v>
      </c>
      <c r="AF33" s="1">
        <v>1</v>
      </c>
      <c r="AG33" s="3">
        <f>F78</f>
        <v>110879.49031782223</v>
      </c>
      <c r="AH33" s="3">
        <f t="shared" si="5"/>
        <v>110879.49031782223</v>
      </c>
      <c r="AJ33" s="1" t="s">
        <v>158</v>
      </c>
      <c r="AK33" s="1">
        <v>1</v>
      </c>
      <c r="AL33" s="3">
        <f>F78</f>
        <v>110879.49031782223</v>
      </c>
      <c r="AM33" s="3">
        <f t="shared" si="6"/>
        <v>110879.49031782223</v>
      </c>
      <c r="AO33" s="1" t="s">
        <v>158</v>
      </c>
      <c r="AP33" s="1">
        <v>1</v>
      </c>
      <c r="AQ33" s="3">
        <f>F78</f>
        <v>110879.49031782223</v>
      </c>
      <c r="AR33" s="3">
        <f t="shared" si="7"/>
        <v>110879.49031782223</v>
      </c>
      <c r="AT33" s="1" t="s">
        <v>157</v>
      </c>
      <c r="AU33" s="1">
        <v>1</v>
      </c>
      <c r="AV33" s="3">
        <f>F78</f>
        <v>110879.49031782223</v>
      </c>
      <c r="AW33" s="3">
        <f t="shared" si="8"/>
        <v>110879.49031782223</v>
      </c>
      <c r="AY33" s="1" t="s">
        <v>157</v>
      </c>
      <c r="AZ33" s="1">
        <v>1</v>
      </c>
      <c r="BA33" s="3">
        <f>F78</f>
        <v>110879.49031782223</v>
      </c>
      <c r="BB33" s="3">
        <f t="shared" si="9"/>
        <v>110879.49031782223</v>
      </c>
    </row>
    <row r="34" spans="2:54" x14ac:dyDescent="0.25">
      <c r="B34" s="1" t="s">
        <v>155</v>
      </c>
      <c r="C34" s="1">
        <v>1</v>
      </c>
      <c r="D34" s="3">
        <f>F79</f>
        <v>12752.506510987418</v>
      </c>
      <c r="E34" s="3">
        <f t="shared" si="0"/>
        <v>12752.506510987418</v>
      </c>
      <c r="H34" s="1" t="s">
        <v>215</v>
      </c>
      <c r="I34" s="1">
        <v>1</v>
      </c>
      <c r="J34" s="3">
        <f>F79</f>
        <v>12752.506510987418</v>
      </c>
      <c r="K34" s="3">
        <f t="shared" si="1"/>
        <v>12752.506510987418</v>
      </c>
      <c r="O34" s="1" t="s">
        <v>155</v>
      </c>
      <c r="P34" s="1">
        <v>1</v>
      </c>
      <c r="Q34" s="3">
        <f>F79</f>
        <v>12752.506510987418</v>
      </c>
      <c r="R34" s="3">
        <f t="shared" si="2"/>
        <v>12752.506510987418</v>
      </c>
      <c r="U34" s="1" t="s">
        <v>155</v>
      </c>
      <c r="V34" s="1">
        <v>1</v>
      </c>
      <c r="W34" s="3">
        <f>F79</f>
        <v>12752.506510987418</v>
      </c>
      <c r="X34" s="3">
        <f t="shared" si="3"/>
        <v>12752.506510987418</v>
      </c>
      <c r="Z34" s="1" t="s">
        <v>155</v>
      </c>
      <c r="AA34" s="1">
        <v>2</v>
      </c>
      <c r="AB34" s="3">
        <f>F79</f>
        <v>12752.506510987418</v>
      </c>
      <c r="AC34" s="3">
        <f t="shared" si="4"/>
        <v>25505.013021974835</v>
      </c>
      <c r="AE34" s="1" t="s">
        <v>155</v>
      </c>
      <c r="AF34" s="1">
        <v>2</v>
      </c>
      <c r="AG34" s="3">
        <f>F79</f>
        <v>12752.506510987418</v>
      </c>
      <c r="AH34" s="3">
        <f t="shared" si="5"/>
        <v>25505.013021974835</v>
      </c>
      <c r="AJ34" s="1" t="s">
        <v>155</v>
      </c>
      <c r="AK34" s="1">
        <v>3</v>
      </c>
      <c r="AL34" s="3">
        <f>F79</f>
        <v>12752.506510987418</v>
      </c>
      <c r="AM34" s="3">
        <f t="shared" si="6"/>
        <v>38257.519532962251</v>
      </c>
      <c r="AO34" s="1" t="s">
        <v>155</v>
      </c>
      <c r="AP34" s="1">
        <v>3</v>
      </c>
      <c r="AQ34" s="3">
        <f>F79</f>
        <v>12752.506510987418</v>
      </c>
      <c r="AR34" s="3">
        <f t="shared" si="7"/>
        <v>38257.519532962251</v>
      </c>
      <c r="AT34" s="1" t="s">
        <v>155</v>
      </c>
      <c r="AU34" s="1">
        <v>3</v>
      </c>
      <c r="AV34" s="3">
        <f>F79</f>
        <v>12752.506510987418</v>
      </c>
      <c r="AW34" s="3">
        <f t="shared" si="8"/>
        <v>38257.519532962251</v>
      </c>
      <c r="AY34" s="1" t="s">
        <v>155</v>
      </c>
      <c r="AZ34" s="1">
        <v>5</v>
      </c>
      <c r="BA34" s="3">
        <f>F79</f>
        <v>12752.506510987418</v>
      </c>
      <c r="BB34" s="3">
        <f t="shared" si="9"/>
        <v>63762.53255493709</v>
      </c>
    </row>
    <row r="35" spans="2:54" x14ac:dyDescent="0.25">
      <c r="B35" s="1" t="s">
        <v>2</v>
      </c>
      <c r="C35" s="1">
        <v>1</v>
      </c>
      <c r="D35" s="3">
        <f>F80</f>
        <v>3099</v>
      </c>
      <c r="E35" s="3">
        <f t="shared" si="0"/>
        <v>3099</v>
      </c>
      <c r="H35" s="1" t="s">
        <v>216</v>
      </c>
      <c r="I35" s="1">
        <v>0</v>
      </c>
      <c r="J35" s="3">
        <f>F80</f>
        <v>3099</v>
      </c>
      <c r="K35" s="3">
        <f t="shared" si="1"/>
        <v>0</v>
      </c>
      <c r="O35" s="1" t="s">
        <v>2</v>
      </c>
      <c r="P35" s="1">
        <v>1</v>
      </c>
      <c r="Q35" s="3">
        <f>F80</f>
        <v>3099</v>
      </c>
      <c r="R35" s="3">
        <f t="shared" si="2"/>
        <v>3099</v>
      </c>
      <c r="U35" s="1" t="s">
        <v>2</v>
      </c>
      <c r="V35" s="1">
        <v>1</v>
      </c>
      <c r="W35" s="3">
        <f>F80</f>
        <v>3099</v>
      </c>
      <c r="X35" s="3">
        <f t="shared" si="3"/>
        <v>3099</v>
      </c>
      <c r="Z35" s="1" t="s">
        <v>2</v>
      </c>
      <c r="AA35" s="1">
        <v>1</v>
      </c>
      <c r="AB35" s="3">
        <f>F80</f>
        <v>3099</v>
      </c>
      <c r="AC35" s="3">
        <f t="shared" si="4"/>
        <v>3099</v>
      </c>
      <c r="AE35" s="1" t="s">
        <v>2</v>
      </c>
      <c r="AF35" s="1">
        <v>1</v>
      </c>
      <c r="AG35" s="3">
        <f>F80</f>
        <v>3099</v>
      </c>
      <c r="AH35" s="3">
        <f t="shared" si="5"/>
        <v>3099</v>
      </c>
      <c r="AJ35" s="1" t="s">
        <v>2</v>
      </c>
      <c r="AK35" s="1">
        <v>1</v>
      </c>
      <c r="AL35" s="3">
        <f>F80</f>
        <v>3099</v>
      </c>
      <c r="AM35" s="3">
        <f t="shared" si="6"/>
        <v>3099</v>
      </c>
      <c r="AO35" s="1" t="s">
        <v>2</v>
      </c>
      <c r="AP35" s="1">
        <v>1</v>
      </c>
      <c r="AQ35" s="3">
        <f>F80</f>
        <v>3099</v>
      </c>
      <c r="AR35" s="3">
        <f t="shared" si="7"/>
        <v>3099</v>
      </c>
      <c r="AT35" s="1" t="s">
        <v>2</v>
      </c>
      <c r="AU35" s="1">
        <v>1</v>
      </c>
      <c r="AV35" s="3">
        <f>F80</f>
        <v>3099</v>
      </c>
      <c r="AW35" s="3">
        <f t="shared" si="8"/>
        <v>3099</v>
      </c>
      <c r="AY35" s="1" t="s">
        <v>2</v>
      </c>
      <c r="AZ35" s="1">
        <v>1</v>
      </c>
      <c r="BA35" s="3">
        <f>F80</f>
        <v>3099</v>
      </c>
      <c r="BB35" s="3">
        <f t="shared" si="9"/>
        <v>3099</v>
      </c>
    </row>
    <row r="36" spans="2:54" x14ac:dyDescent="0.25">
      <c r="B36" s="1" t="s">
        <v>110</v>
      </c>
      <c r="C36" s="1">
        <v>0</v>
      </c>
      <c r="D36" s="3">
        <f>F81</f>
        <v>84741.5625</v>
      </c>
      <c r="E36" s="3">
        <f t="shared" si="0"/>
        <v>0</v>
      </c>
      <c r="H36" s="1" t="s">
        <v>110</v>
      </c>
      <c r="I36" s="1">
        <v>0</v>
      </c>
      <c r="J36" s="3">
        <f>F81</f>
        <v>84741.5625</v>
      </c>
      <c r="K36" s="3">
        <f t="shared" si="1"/>
        <v>0</v>
      </c>
      <c r="O36" s="1" t="s">
        <v>110</v>
      </c>
      <c r="P36" s="1">
        <v>1</v>
      </c>
      <c r="Q36" s="3">
        <f>F81</f>
        <v>84741.5625</v>
      </c>
      <c r="R36" s="3">
        <f t="shared" si="2"/>
        <v>84741.5625</v>
      </c>
      <c r="U36" s="1" t="s">
        <v>110</v>
      </c>
      <c r="V36" s="1">
        <v>1</v>
      </c>
      <c r="W36" s="3">
        <f>F81</f>
        <v>84741.5625</v>
      </c>
      <c r="X36" s="3">
        <f t="shared" si="3"/>
        <v>84741.5625</v>
      </c>
      <c r="Z36" s="1" t="s">
        <v>110</v>
      </c>
      <c r="AA36" s="1">
        <v>1</v>
      </c>
      <c r="AB36" s="3">
        <f>F81</f>
        <v>84741.5625</v>
      </c>
      <c r="AC36" s="3">
        <f t="shared" si="4"/>
        <v>84741.5625</v>
      </c>
      <c r="AE36" s="1" t="s">
        <v>110</v>
      </c>
      <c r="AF36" s="1">
        <v>1</v>
      </c>
      <c r="AG36" s="3">
        <f>F81</f>
        <v>84741.5625</v>
      </c>
      <c r="AH36" s="3">
        <f t="shared" si="5"/>
        <v>84741.5625</v>
      </c>
      <c r="AJ36" s="1" t="s">
        <v>110</v>
      </c>
      <c r="AK36" s="1">
        <v>1</v>
      </c>
      <c r="AL36" s="3">
        <f>F81</f>
        <v>84741.5625</v>
      </c>
      <c r="AM36" s="3">
        <f t="shared" si="6"/>
        <v>84741.5625</v>
      </c>
      <c r="AO36" s="1" t="s">
        <v>110</v>
      </c>
      <c r="AP36" s="1">
        <v>1</v>
      </c>
      <c r="AQ36" s="3">
        <f>F81</f>
        <v>84741.5625</v>
      </c>
      <c r="AR36" s="3">
        <f t="shared" si="7"/>
        <v>84741.5625</v>
      </c>
      <c r="AT36" s="1" t="s">
        <v>110</v>
      </c>
      <c r="AU36" s="1">
        <v>1</v>
      </c>
      <c r="AV36" s="3">
        <f>F81</f>
        <v>84741.5625</v>
      </c>
      <c r="AW36" s="3">
        <f t="shared" si="8"/>
        <v>84741.5625</v>
      </c>
      <c r="AY36" s="1" t="s">
        <v>110</v>
      </c>
      <c r="AZ36" s="1">
        <v>1</v>
      </c>
      <c r="BA36" s="3">
        <f>F81</f>
        <v>84741.5625</v>
      </c>
      <c r="BB36" s="3">
        <f t="shared" si="9"/>
        <v>84741.5625</v>
      </c>
    </row>
    <row r="37" spans="2:54" x14ac:dyDescent="0.25">
      <c r="B37" s="1" t="s">
        <v>154</v>
      </c>
      <c r="C37" s="1">
        <v>0</v>
      </c>
      <c r="D37" s="3">
        <f>F82</f>
        <v>106000</v>
      </c>
      <c r="E37" s="3">
        <f t="shared" si="0"/>
        <v>0</v>
      </c>
      <c r="H37" s="1" t="s">
        <v>217</v>
      </c>
      <c r="I37" s="1">
        <v>1</v>
      </c>
      <c r="J37" s="3">
        <f>F82</f>
        <v>106000</v>
      </c>
      <c r="K37" s="3">
        <f t="shared" si="1"/>
        <v>106000</v>
      </c>
      <c r="O37" s="1" t="s">
        <v>154</v>
      </c>
      <c r="P37" s="1">
        <v>1</v>
      </c>
      <c r="Q37" s="3">
        <f>F82</f>
        <v>106000</v>
      </c>
      <c r="R37" s="3">
        <f t="shared" si="2"/>
        <v>106000</v>
      </c>
      <c r="U37" s="1" t="s">
        <v>154</v>
      </c>
      <c r="V37" s="1">
        <v>1</v>
      </c>
      <c r="W37" s="3">
        <f>F82</f>
        <v>106000</v>
      </c>
      <c r="X37" s="3">
        <f t="shared" si="3"/>
        <v>106000</v>
      </c>
      <c r="Z37" s="1" t="s">
        <v>154</v>
      </c>
      <c r="AA37" s="1">
        <v>1</v>
      </c>
      <c r="AB37" s="3">
        <f>F82</f>
        <v>106000</v>
      </c>
      <c r="AC37" s="3">
        <f t="shared" si="4"/>
        <v>106000</v>
      </c>
      <c r="AE37" s="1" t="s">
        <v>154</v>
      </c>
      <c r="AF37" s="1">
        <v>1</v>
      </c>
      <c r="AG37" s="3">
        <f>F82</f>
        <v>106000</v>
      </c>
      <c r="AH37" s="3">
        <f t="shared" si="5"/>
        <v>106000</v>
      </c>
      <c r="AJ37" s="1" t="s">
        <v>154</v>
      </c>
      <c r="AK37" s="1">
        <v>2</v>
      </c>
      <c r="AL37" s="3">
        <f>F82</f>
        <v>106000</v>
      </c>
      <c r="AM37" s="3">
        <f t="shared" si="6"/>
        <v>212000</v>
      </c>
      <c r="AO37" s="1" t="s">
        <v>154</v>
      </c>
      <c r="AP37" s="1">
        <v>2</v>
      </c>
      <c r="AQ37" s="3">
        <f>F82</f>
        <v>106000</v>
      </c>
      <c r="AR37" s="3">
        <f t="shared" si="7"/>
        <v>212000</v>
      </c>
      <c r="AT37" s="1" t="s">
        <v>154</v>
      </c>
      <c r="AU37" s="1">
        <v>2</v>
      </c>
      <c r="AV37" s="3">
        <f>F82</f>
        <v>106000</v>
      </c>
      <c r="AW37" s="3">
        <f t="shared" si="8"/>
        <v>212000</v>
      </c>
      <c r="AY37" s="1" t="s">
        <v>154</v>
      </c>
      <c r="AZ37" s="1">
        <v>4</v>
      </c>
      <c r="BA37" s="3">
        <f>F82</f>
        <v>106000</v>
      </c>
      <c r="BB37" s="3">
        <f t="shared" si="9"/>
        <v>424000</v>
      </c>
    </row>
    <row r="38" spans="2:54" x14ac:dyDescent="0.25">
      <c r="B38" s="2" t="s">
        <v>10</v>
      </c>
      <c r="C38" s="2"/>
      <c r="D38" s="4"/>
      <c r="E38" s="4">
        <f>SUM(E25:E37)</f>
        <v>390936.58675067639</v>
      </c>
      <c r="H38" s="2" t="s">
        <v>10</v>
      </c>
      <c r="I38" s="2"/>
      <c r="J38" s="4"/>
      <c r="K38" s="4">
        <f>SUM(K25:K37)</f>
        <v>705254.18974793144</v>
      </c>
      <c r="O38" s="2" t="s">
        <v>10</v>
      </c>
      <c r="P38" s="2"/>
      <c r="Q38" s="4"/>
      <c r="R38" s="4">
        <f>SUM(R25:R37)</f>
        <v>1553095.1114662869</v>
      </c>
      <c r="U38" s="2" t="s">
        <v>10</v>
      </c>
      <c r="V38" s="2"/>
      <c r="W38" s="4"/>
      <c r="X38" s="4">
        <f>SUM(X25:X37)</f>
        <v>2006387.0390528457</v>
      </c>
      <c r="Z38" s="2" t="s">
        <v>10</v>
      </c>
      <c r="AA38" s="2"/>
      <c r="AB38" s="4"/>
      <c r="AC38" s="4">
        <f>SUM(AC25:AC37)</f>
        <v>2326204.1509727356</v>
      </c>
      <c r="AE38" s="2" t="s">
        <v>10</v>
      </c>
      <c r="AF38" s="2"/>
      <c r="AG38" s="4"/>
      <c r="AH38" s="4">
        <f>SUM(AH25:AH37)</f>
        <v>2635825.8615017668</v>
      </c>
      <c r="AJ38" s="2" t="s">
        <v>10</v>
      </c>
      <c r="AK38" s="2"/>
      <c r="AL38" s="4"/>
      <c r="AM38" s="4">
        <f>SUM(AM25:AM37)</f>
        <v>3146757.1836619126</v>
      </c>
      <c r="AO38" s="2" t="s">
        <v>10</v>
      </c>
      <c r="AP38" s="2"/>
      <c r="AQ38" s="4"/>
      <c r="AR38" s="4">
        <f>SUM(AR25:AR37)</f>
        <v>3604551.0876297015</v>
      </c>
      <c r="AT38" s="2" t="s">
        <v>10</v>
      </c>
      <c r="AU38" s="2"/>
      <c r="AV38" s="4"/>
      <c r="AW38" s="4">
        <f>SUM(AW25:AW37)</f>
        <v>3914172.7981587318</v>
      </c>
      <c r="AY38" s="2" t="s">
        <v>10</v>
      </c>
      <c r="AZ38" s="2"/>
      <c r="BA38" s="4"/>
      <c r="BB38" s="4">
        <f>SUM(BB25:BB37)</f>
        <v>5742275.3938604491</v>
      </c>
    </row>
    <row r="40" spans="2:54" x14ac:dyDescent="0.25">
      <c r="J40" s="81" t="s">
        <v>136</v>
      </c>
      <c r="K40" s="82"/>
      <c r="L40" s="82"/>
      <c r="M40" s="97"/>
    </row>
    <row r="41" spans="2:54" x14ac:dyDescent="0.25">
      <c r="B41" s="89" t="s">
        <v>106</v>
      </c>
      <c r="C41" s="90"/>
      <c r="D41" s="61"/>
      <c r="J41" s="2" t="s">
        <v>7</v>
      </c>
      <c r="K41" s="2" t="s">
        <v>8</v>
      </c>
      <c r="L41" s="2" t="s">
        <v>9</v>
      </c>
      <c r="M41" s="2" t="s">
        <v>11</v>
      </c>
    </row>
    <row r="42" spans="2:54" x14ac:dyDescent="0.25">
      <c r="B42" s="58" t="s">
        <v>105</v>
      </c>
      <c r="C42" s="58" t="s">
        <v>107</v>
      </c>
      <c r="J42" s="1" t="s">
        <v>5</v>
      </c>
      <c r="K42" s="1">
        <v>2</v>
      </c>
      <c r="L42" s="3">
        <f>F70</f>
        <v>219226.91201586655</v>
      </c>
      <c r="M42" s="3">
        <f>L42*K42</f>
        <v>438453.82403173309</v>
      </c>
    </row>
    <row r="43" spans="2:54" x14ac:dyDescent="0.25">
      <c r="B43" s="57" t="s">
        <v>0</v>
      </c>
      <c r="C43" s="59">
        <v>921332</v>
      </c>
      <c r="J43" s="1" t="s">
        <v>6</v>
      </c>
      <c r="K43" s="1">
        <v>4</v>
      </c>
      <c r="L43" s="3">
        <f>F71</f>
        <v>85724.630931644453</v>
      </c>
      <c r="M43" s="3">
        <f t="shared" ref="M43:M54" si="10">L43*K43</f>
        <v>342898.52372657781</v>
      </c>
    </row>
    <row r="44" spans="2:54" x14ac:dyDescent="0.25">
      <c r="B44" s="57" t="s">
        <v>17</v>
      </c>
      <c r="C44" s="59">
        <v>3269578</v>
      </c>
      <c r="J44" s="1" t="s">
        <v>3</v>
      </c>
      <c r="K44" s="1">
        <v>4</v>
      </c>
      <c r="L44" s="3">
        <f>F72</f>
        <v>4670.1675815194794</v>
      </c>
      <c r="M44" s="3">
        <f t="shared" si="10"/>
        <v>18680.670326077918</v>
      </c>
    </row>
    <row r="45" spans="2:54" x14ac:dyDescent="0.25">
      <c r="B45" s="57" t="s">
        <v>16</v>
      </c>
      <c r="C45" s="59">
        <f>12890783</f>
        <v>12890783</v>
      </c>
      <c r="J45" s="1" t="s">
        <v>4</v>
      </c>
      <c r="K45" s="1">
        <v>1</v>
      </c>
      <c r="L45" s="3">
        <f>F73</f>
        <v>36351.63690257167</v>
      </c>
      <c r="M45" s="3">
        <f t="shared" si="10"/>
        <v>36351.63690257167</v>
      </c>
    </row>
    <row r="46" spans="2:54" x14ac:dyDescent="0.25">
      <c r="J46" s="1" t="s">
        <v>14</v>
      </c>
      <c r="K46" s="1">
        <v>0</v>
      </c>
      <c r="L46" s="3">
        <v>30000</v>
      </c>
      <c r="M46" s="3">
        <f t="shared" si="10"/>
        <v>0</v>
      </c>
    </row>
    <row r="47" spans="2:54" x14ac:dyDescent="0.25">
      <c r="J47" s="1" t="s">
        <v>15</v>
      </c>
      <c r="K47" s="1">
        <v>1</v>
      </c>
      <c r="L47" s="3">
        <v>80000</v>
      </c>
      <c r="M47" s="3">
        <f t="shared" si="10"/>
        <v>80000</v>
      </c>
    </row>
    <row r="48" spans="2:54" x14ac:dyDescent="0.25">
      <c r="J48" s="1" t="s">
        <v>12</v>
      </c>
      <c r="K48" s="1">
        <v>1</v>
      </c>
      <c r="L48" s="3">
        <f>F75</f>
        <v>31820.556536186443</v>
      </c>
      <c r="M48" s="3">
        <f t="shared" si="10"/>
        <v>31820.556536186443</v>
      </c>
    </row>
    <row r="49" spans="2:13" x14ac:dyDescent="0.25">
      <c r="J49" s="1" t="s">
        <v>1</v>
      </c>
      <c r="K49" s="1">
        <v>1</v>
      </c>
      <c r="L49" s="3">
        <f>F76</f>
        <v>2557.1051201283917</v>
      </c>
      <c r="M49" s="3">
        <f t="shared" si="10"/>
        <v>2557.1051201283917</v>
      </c>
    </row>
    <row r="50" spans="2:13" x14ac:dyDescent="0.25">
      <c r="B50" s="104" t="s">
        <v>88</v>
      </c>
      <c r="C50" s="105"/>
      <c r="D50" s="105"/>
      <c r="E50" s="105"/>
      <c r="F50" s="105"/>
      <c r="G50" s="63"/>
      <c r="J50" s="1" t="s">
        <v>158</v>
      </c>
      <c r="K50" s="1">
        <v>1</v>
      </c>
      <c r="L50" s="3">
        <f>F77</f>
        <v>35755.875635863173</v>
      </c>
      <c r="M50" s="3">
        <f t="shared" si="10"/>
        <v>35755.875635863173</v>
      </c>
    </row>
    <row r="51" spans="2:13" x14ac:dyDescent="0.25">
      <c r="B51" s="53" t="s">
        <v>90</v>
      </c>
      <c r="C51" s="53" t="s">
        <v>92</v>
      </c>
      <c r="D51" s="53" t="s">
        <v>93</v>
      </c>
      <c r="E51" s="53" t="s">
        <v>94</v>
      </c>
      <c r="F51" s="53" t="s">
        <v>95</v>
      </c>
      <c r="J51" s="1" t="s">
        <v>155</v>
      </c>
      <c r="K51" s="1">
        <v>1</v>
      </c>
      <c r="L51" s="3">
        <f>F79</f>
        <v>12752.506510987418</v>
      </c>
      <c r="M51" s="3">
        <f t="shared" si="10"/>
        <v>12752.506510987418</v>
      </c>
    </row>
    <row r="52" spans="2:13" x14ac:dyDescent="0.25">
      <c r="B52" s="17" t="s">
        <v>91</v>
      </c>
      <c r="C52" s="17">
        <v>3</v>
      </c>
      <c r="D52" s="17">
        <v>5</v>
      </c>
      <c r="E52" s="17">
        <v>2</v>
      </c>
      <c r="F52" s="18">
        <f>C43*C52+C44*D52+C45*E52</f>
        <v>44893452</v>
      </c>
      <c r="J52" s="1" t="s">
        <v>2</v>
      </c>
      <c r="K52" s="1">
        <v>0</v>
      </c>
      <c r="L52" s="3">
        <f>F80</f>
        <v>3099</v>
      </c>
      <c r="M52" s="3">
        <f t="shared" si="10"/>
        <v>0</v>
      </c>
    </row>
    <row r="53" spans="2:13" x14ac:dyDescent="0.25">
      <c r="B53" s="17" t="s">
        <v>89</v>
      </c>
      <c r="C53" s="17">
        <v>8</v>
      </c>
      <c r="D53" s="17">
        <v>13</v>
      </c>
      <c r="E53" s="17">
        <v>5</v>
      </c>
      <c r="F53" s="18">
        <f>C43*C53+C44*D53+C45*E53</f>
        <v>114329085</v>
      </c>
      <c r="J53" s="1" t="s">
        <v>110</v>
      </c>
      <c r="K53" s="1">
        <v>0</v>
      </c>
      <c r="L53" s="3">
        <f>F81</f>
        <v>84741.5625</v>
      </c>
      <c r="M53" s="3">
        <f t="shared" si="10"/>
        <v>0</v>
      </c>
    </row>
    <row r="54" spans="2:13" x14ac:dyDescent="0.25">
      <c r="J54" s="1" t="s">
        <v>154</v>
      </c>
      <c r="K54" s="1">
        <v>1</v>
      </c>
      <c r="L54" s="3">
        <f>F82</f>
        <v>106000</v>
      </c>
      <c r="M54" s="3">
        <f t="shared" si="10"/>
        <v>106000</v>
      </c>
    </row>
    <row r="55" spans="2:13" x14ac:dyDescent="0.25">
      <c r="J55" s="2" t="s">
        <v>10</v>
      </c>
      <c r="K55" s="2"/>
      <c r="L55" s="4"/>
      <c r="M55" s="4">
        <f>SUM(M42:M54)</f>
        <v>1105270.698790126</v>
      </c>
    </row>
    <row r="57" spans="2:13" x14ac:dyDescent="0.25">
      <c r="B57" s="106" t="s">
        <v>96</v>
      </c>
      <c r="C57" s="107"/>
      <c r="D57" s="107"/>
      <c r="E57" s="107"/>
      <c r="F57" s="107"/>
      <c r="G57" s="63"/>
      <c r="H57" s="60"/>
      <c r="I57" s="54"/>
      <c r="J57" s="54"/>
    </row>
    <row r="58" spans="2:13" x14ac:dyDescent="0.25">
      <c r="B58" s="62" t="s">
        <v>90</v>
      </c>
      <c r="C58" s="62" t="s">
        <v>92</v>
      </c>
      <c r="D58" s="62" t="s">
        <v>93</v>
      </c>
      <c r="E58" s="62" t="s">
        <v>94</v>
      </c>
      <c r="F58" s="62" t="s">
        <v>104</v>
      </c>
    </row>
    <row r="59" spans="2:13" x14ac:dyDescent="0.25">
      <c r="B59" s="55" t="s">
        <v>91</v>
      </c>
      <c r="C59" s="56" t="s">
        <v>97</v>
      </c>
      <c r="D59" s="56" t="s">
        <v>98</v>
      </c>
      <c r="E59" s="56" t="s">
        <v>100</v>
      </c>
      <c r="F59" s="56" t="s">
        <v>103</v>
      </c>
    </row>
    <row r="60" spans="2:13" x14ac:dyDescent="0.25">
      <c r="B60" s="55" t="s">
        <v>89</v>
      </c>
      <c r="C60" s="56" t="s">
        <v>98</v>
      </c>
      <c r="D60" s="56" t="s">
        <v>99</v>
      </c>
      <c r="E60" s="56" t="s">
        <v>101</v>
      </c>
      <c r="F60" s="56" t="s">
        <v>102</v>
      </c>
    </row>
    <row r="62" spans="2:13" x14ac:dyDescent="0.25">
      <c r="B62" s="103" t="s">
        <v>112</v>
      </c>
      <c r="C62" s="103"/>
      <c r="D62" s="103"/>
      <c r="E62" s="103"/>
      <c r="F62" s="103"/>
    </row>
    <row r="63" spans="2:13" x14ac:dyDescent="0.25">
      <c r="C63" t="s">
        <v>20</v>
      </c>
      <c r="D63" t="s">
        <v>133</v>
      </c>
      <c r="E63" t="s">
        <v>134</v>
      </c>
      <c r="F63" t="s">
        <v>125</v>
      </c>
      <c r="G63" t="s">
        <v>126</v>
      </c>
      <c r="H63" t="s">
        <v>127</v>
      </c>
      <c r="I63" t="s">
        <v>128</v>
      </c>
      <c r="J63" t="s">
        <v>129</v>
      </c>
      <c r="K63" t="s">
        <v>130</v>
      </c>
      <c r="L63" t="s">
        <v>131</v>
      </c>
      <c r="M63" t="s">
        <v>132</v>
      </c>
    </row>
    <row r="64" spans="2:13" x14ac:dyDescent="0.25">
      <c r="B64" t="s">
        <v>94</v>
      </c>
      <c r="C64">
        <f>F64+G64+H64+I64+J64+K64+L64+M64</f>
        <v>8</v>
      </c>
      <c r="D64">
        <v>0</v>
      </c>
      <c r="E64">
        <v>0</v>
      </c>
      <c r="F64">
        <v>2</v>
      </c>
      <c r="G64">
        <v>2</v>
      </c>
      <c r="H64">
        <v>1</v>
      </c>
      <c r="I64">
        <v>2</v>
      </c>
      <c r="J64">
        <v>0</v>
      </c>
      <c r="K64">
        <v>0</v>
      </c>
      <c r="L64">
        <v>0</v>
      </c>
      <c r="M64">
        <v>1</v>
      </c>
    </row>
    <row r="65" spans="2:16" x14ac:dyDescent="0.25">
      <c r="B65" t="s">
        <v>113</v>
      </c>
      <c r="C65">
        <f>D65+E65</f>
        <v>10</v>
      </c>
      <c r="D65">
        <v>2</v>
      </c>
      <c r="E65">
        <v>8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</row>
    <row r="66" spans="2:16" x14ac:dyDescent="0.25">
      <c r="B66" t="s">
        <v>114</v>
      </c>
      <c r="C66">
        <v>30</v>
      </c>
      <c r="D66">
        <v>30</v>
      </c>
    </row>
    <row r="68" spans="2:16" x14ac:dyDescent="0.25">
      <c r="F68" s="101" t="s">
        <v>175</v>
      </c>
      <c r="G68" s="101"/>
      <c r="H68" s="101"/>
      <c r="I68" s="102" t="s">
        <v>176</v>
      </c>
      <c r="J68" s="102"/>
      <c r="K68" s="102"/>
      <c r="L68" s="102"/>
      <c r="M68" s="102"/>
      <c r="N68" s="102"/>
      <c r="O68" s="102"/>
      <c r="P68" s="102"/>
    </row>
    <row r="69" spans="2:16" x14ac:dyDescent="0.25">
      <c r="C69" s="8" t="s">
        <v>137</v>
      </c>
      <c r="D69" s="8" t="s">
        <v>111</v>
      </c>
      <c r="E69" s="8" t="s">
        <v>146</v>
      </c>
      <c r="F69" s="8" t="s">
        <v>138</v>
      </c>
      <c r="G69" s="8" t="s">
        <v>139</v>
      </c>
      <c r="H69" s="8" t="s">
        <v>156</v>
      </c>
      <c r="I69" s="14" t="s">
        <v>161</v>
      </c>
      <c r="J69" s="14" t="s">
        <v>162</v>
      </c>
      <c r="K69" s="14" t="s">
        <v>163</v>
      </c>
      <c r="L69" s="14" t="s">
        <v>164</v>
      </c>
      <c r="M69" s="14" t="s">
        <v>165</v>
      </c>
      <c r="N69" s="14" t="s">
        <v>166</v>
      </c>
      <c r="O69" s="14" t="s">
        <v>168</v>
      </c>
      <c r="P69" s="14" t="s">
        <v>173</v>
      </c>
    </row>
    <row r="70" spans="2:16" x14ac:dyDescent="0.25">
      <c r="B70" s="66" t="s">
        <v>140</v>
      </c>
      <c r="C70" s="65">
        <v>325000</v>
      </c>
      <c r="D70" s="8">
        <v>0.85</v>
      </c>
      <c r="E70" s="8">
        <f>(C25*C66)+(D65*1)+(E65*2)+(F65*3)+(G65*4)+(H65*5)+(I65*6)+(J65*7)+(K65*8)+(L65*9)+(M65*10)+(F64*3)+(G64*4)+(H64*5)+(I64*6)+(J64*7)+(K64*8)+(L64*9)+(M64*10)</f>
        <v>89</v>
      </c>
      <c r="F70" s="8">
        <f>(G70+C70)/2</f>
        <v>219226.91201586655</v>
      </c>
      <c r="G70" s="8">
        <f>C70*E70^(LN(0.85)/LN(2))</f>
        <v>113453.82403173306</v>
      </c>
      <c r="H70" s="8">
        <f>F70*E70</f>
        <v>19511195.169412121</v>
      </c>
      <c r="I70" s="14">
        <v>0</v>
      </c>
      <c r="J70" s="14">
        <f>I70*E70</f>
        <v>0</v>
      </c>
      <c r="K70" s="14">
        <v>1</v>
      </c>
      <c r="L70" s="14">
        <f>K70*E70</f>
        <v>89</v>
      </c>
      <c r="M70" s="14">
        <v>0</v>
      </c>
      <c r="N70" s="14">
        <f>M70*E70</f>
        <v>0</v>
      </c>
      <c r="O70" s="14">
        <v>26.28</v>
      </c>
      <c r="P70" s="14">
        <f>O70*E70</f>
        <v>2338.92</v>
      </c>
    </row>
    <row r="71" spans="2:16" x14ac:dyDescent="0.25">
      <c r="B71" s="67" t="s">
        <v>141</v>
      </c>
      <c r="C71" s="65">
        <v>130000</v>
      </c>
      <c r="D71" s="8">
        <v>0.85</v>
      </c>
      <c r="E71" s="8">
        <f>(D66*C26)+(D65*I26)+(E65*K43)+(F64*P26)+(G64*V26)+(H64*AA26)+(I64*AF26)+(J64*AK26)+(K64*AP26)+(L64*AU26)+(M64*AZ26)</f>
        <v>131</v>
      </c>
      <c r="F71" s="8">
        <f>(C71+G71)/2</f>
        <v>85724.630931644453</v>
      </c>
      <c r="G71" s="8">
        <f>C71*E71^(LN(D71)/LN(2))</f>
        <v>41449.261863288906</v>
      </c>
      <c r="H71" s="8">
        <f>F71*E71</f>
        <v>11229926.652045423</v>
      </c>
      <c r="I71" s="14">
        <v>0</v>
      </c>
      <c r="J71" s="14">
        <f t="shared" ref="J71:J82" si="11">I71*E71</f>
        <v>0</v>
      </c>
      <c r="K71" s="14">
        <v>0.5</v>
      </c>
      <c r="L71" s="14">
        <f t="shared" ref="L71:L82" si="12">K71*E71</f>
        <v>65.5</v>
      </c>
      <c r="M71" s="14">
        <v>0</v>
      </c>
      <c r="N71" s="14">
        <f t="shared" ref="N71:N82" si="13">M71*E71</f>
        <v>0</v>
      </c>
      <c r="O71" s="14">
        <v>15.768000000000001</v>
      </c>
      <c r="P71" s="14">
        <f t="shared" ref="P71:P82" si="14">O71*E71</f>
        <v>2065.6080000000002</v>
      </c>
    </row>
    <row r="72" spans="2:16" x14ac:dyDescent="0.25">
      <c r="B72" s="66" t="s">
        <v>142</v>
      </c>
      <c r="C72" s="65">
        <v>7000</v>
      </c>
      <c r="D72" s="8">
        <v>0.85</v>
      </c>
      <c r="E72" s="8">
        <v>107</v>
      </c>
      <c r="F72" s="8">
        <f>(G72+C72)/2</f>
        <v>4670.1675815194794</v>
      </c>
      <c r="G72" s="8">
        <f>C72*E72^(LN(D72)/LN(2))</f>
        <v>2340.3351630389593</v>
      </c>
      <c r="H72" s="8">
        <f>F72*E72</f>
        <v>499707.93122258427</v>
      </c>
      <c r="I72" s="14">
        <v>0</v>
      </c>
      <c r="J72" s="14">
        <f t="shared" si="11"/>
        <v>0</v>
      </c>
      <c r="K72" s="14">
        <v>0</v>
      </c>
      <c r="L72" s="14">
        <f t="shared" si="12"/>
        <v>0</v>
      </c>
      <c r="M72" s="14">
        <v>0</v>
      </c>
      <c r="N72" s="14">
        <f t="shared" si="13"/>
        <v>0</v>
      </c>
      <c r="O72" s="14">
        <v>0</v>
      </c>
      <c r="P72" s="14">
        <f t="shared" si="14"/>
        <v>0</v>
      </c>
    </row>
    <row r="73" spans="2:16" x14ac:dyDescent="0.25">
      <c r="B73" s="67" t="s">
        <v>143</v>
      </c>
      <c r="C73" s="65">
        <v>50000</v>
      </c>
      <c r="D73" s="8">
        <v>0.85</v>
      </c>
      <c r="E73" s="8">
        <v>29</v>
      </c>
      <c r="F73" s="8">
        <f>(C73+G73)/2</f>
        <v>36351.63690257167</v>
      </c>
      <c r="G73" s="8">
        <f>C73*E73^(LN(D73)/LN(2))</f>
        <v>22703.273805143333</v>
      </c>
      <c r="H73" s="8">
        <f t="shared" ref="H73:H82" si="15">F73*E73</f>
        <v>1054197.4701745785</v>
      </c>
      <c r="I73" s="14">
        <v>0</v>
      </c>
      <c r="J73" s="14">
        <f t="shared" si="11"/>
        <v>0</v>
      </c>
      <c r="K73" s="14">
        <v>0</v>
      </c>
      <c r="L73" s="14">
        <f t="shared" si="12"/>
        <v>0</v>
      </c>
      <c r="M73" s="14">
        <v>0</v>
      </c>
      <c r="N73" s="14">
        <f t="shared" si="13"/>
        <v>0</v>
      </c>
      <c r="O73" s="14">
        <v>0</v>
      </c>
      <c r="P73" s="14">
        <f t="shared" si="14"/>
        <v>0</v>
      </c>
    </row>
    <row r="74" spans="2:16" x14ac:dyDescent="0.25">
      <c r="B74" s="67" t="s">
        <v>144</v>
      </c>
      <c r="C74" s="65">
        <v>13500</v>
      </c>
      <c r="D74" s="8">
        <v>1</v>
      </c>
      <c r="E74" s="8">
        <f>(D66*C30)+(D65*I30)+(E65*K47)+(F64*P30)+(G64*V30)+(H64*AA30)+(I64*AF30)+(J64*AK30)+(K64*AP30)+(L64*AU30)+(M64*AZ30)</f>
        <v>32</v>
      </c>
      <c r="F74" s="8">
        <f t="shared" ref="F74:F76" si="16">(C74+G74)/2</f>
        <v>13500</v>
      </c>
      <c r="G74" s="8">
        <f t="shared" ref="G74:G76" si="17">C74*E74^(LN(D74)/LN(2))</f>
        <v>13500</v>
      </c>
      <c r="H74" s="8">
        <f t="shared" si="15"/>
        <v>432000</v>
      </c>
      <c r="I74" s="14">
        <v>0</v>
      </c>
      <c r="J74" s="14">
        <f t="shared" si="11"/>
        <v>0</v>
      </c>
      <c r="K74" s="14">
        <v>1</v>
      </c>
      <c r="L74" s="14">
        <f t="shared" si="12"/>
        <v>32</v>
      </c>
      <c r="M74" s="14">
        <v>0</v>
      </c>
      <c r="N74" s="14">
        <f t="shared" si="13"/>
        <v>0</v>
      </c>
      <c r="O74" s="14">
        <v>70.930000000000007</v>
      </c>
      <c r="P74" s="14">
        <f t="shared" si="14"/>
        <v>2269.7600000000002</v>
      </c>
    </row>
    <row r="75" spans="2:16" x14ac:dyDescent="0.25">
      <c r="B75" s="67" t="s">
        <v>145</v>
      </c>
      <c r="C75" s="65">
        <v>49500</v>
      </c>
      <c r="D75" s="8">
        <v>0.8</v>
      </c>
      <c r="E75" s="8">
        <f>(D66*C31)+(D65*I31)+(E65*K48)+(F64*P31)+(G64*V31)+(H64*AA31)+(I64*AF31)+(J64*AK31)+(K64*AP31)+(L64*AU31)+(M64*AZ31)</f>
        <v>49</v>
      </c>
      <c r="F75" s="8">
        <f t="shared" si="16"/>
        <v>31820.556536186443</v>
      </c>
      <c r="G75" s="8">
        <f t="shared" si="17"/>
        <v>14141.113072372886</v>
      </c>
      <c r="H75" s="8">
        <f t="shared" si="15"/>
        <v>1559207.2702731357</v>
      </c>
      <c r="I75" s="14">
        <v>0</v>
      </c>
      <c r="J75" s="14">
        <f t="shared" si="11"/>
        <v>0</v>
      </c>
      <c r="K75" s="14">
        <v>0</v>
      </c>
      <c r="L75" s="14">
        <f t="shared" si="12"/>
        <v>0</v>
      </c>
      <c r="M75" s="14">
        <v>2</v>
      </c>
      <c r="N75" s="14">
        <f t="shared" si="13"/>
        <v>98</v>
      </c>
      <c r="O75" s="14">
        <v>70</v>
      </c>
      <c r="P75" s="14">
        <f t="shared" si="14"/>
        <v>3430</v>
      </c>
    </row>
    <row r="76" spans="2:16" x14ac:dyDescent="0.25">
      <c r="B76" s="67" t="s">
        <v>147</v>
      </c>
      <c r="C76" s="65">
        <v>4000</v>
      </c>
      <c r="D76" s="8">
        <v>0.8</v>
      </c>
      <c r="E76" s="8">
        <f>(D66*C32)+(D65*I32)+(E65*K49)+(F64*P32)+(G64*V32)+(H64*AA32)+(I64*AF32)+(J64*AK32)+(K64*AP32)+(L64*AU32)+(M64*AZ32)</f>
        <v>53</v>
      </c>
      <c r="F76" s="8">
        <f t="shared" si="16"/>
        <v>2557.1051201283917</v>
      </c>
      <c r="G76" s="8">
        <f t="shared" si="17"/>
        <v>1114.2102402567834</v>
      </c>
      <c r="H76" s="8">
        <f t="shared" si="15"/>
        <v>135526.57136680477</v>
      </c>
      <c r="I76" s="14">
        <v>0</v>
      </c>
      <c r="J76" s="14">
        <f t="shared" si="11"/>
        <v>0</v>
      </c>
      <c r="K76" s="14">
        <v>0</v>
      </c>
      <c r="L76" s="14">
        <f t="shared" si="12"/>
        <v>0</v>
      </c>
      <c r="M76" s="14">
        <v>0</v>
      </c>
      <c r="N76" s="14">
        <f t="shared" si="13"/>
        <v>0</v>
      </c>
      <c r="O76" s="14">
        <v>0</v>
      </c>
      <c r="P76" s="14">
        <f t="shared" si="14"/>
        <v>0</v>
      </c>
    </row>
    <row r="77" spans="2:16" x14ac:dyDescent="0.25">
      <c r="B77" s="67" t="s">
        <v>152</v>
      </c>
      <c r="C77" s="65">
        <v>55000</v>
      </c>
      <c r="D77" s="8">
        <v>0.8</v>
      </c>
      <c r="E77" s="8">
        <f>(D66*C33)+(D65*I33)+(E65*K50)+(F64*P33)</f>
        <v>42</v>
      </c>
      <c r="F77" s="8">
        <f t="shared" ref="F77:F82" si="18">(C77+G77)/2</f>
        <v>35755.875635863173</v>
      </c>
      <c r="G77" s="8">
        <f t="shared" ref="G77:G82" si="19">C77*E77^(LN(D77)/LN(2))</f>
        <v>16511.751271726345</v>
      </c>
      <c r="H77" s="8">
        <f t="shared" si="15"/>
        <v>1501746.7767062532</v>
      </c>
      <c r="I77" s="14">
        <v>2</v>
      </c>
      <c r="J77" s="14">
        <f t="shared" si="11"/>
        <v>84</v>
      </c>
      <c r="K77" s="14">
        <v>0</v>
      </c>
      <c r="L77" s="14">
        <f t="shared" si="12"/>
        <v>0</v>
      </c>
      <c r="M77" s="14">
        <v>0</v>
      </c>
      <c r="N77" s="14">
        <f t="shared" si="13"/>
        <v>0</v>
      </c>
      <c r="O77" s="14">
        <v>100</v>
      </c>
      <c r="P77" s="14">
        <f t="shared" si="14"/>
        <v>4200</v>
      </c>
    </row>
    <row r="78" spans="2:16" x14ac:dyDescent="0.25">
      <c r="B78" s="66" t="s">
        <v>153</v>
      </c>
      <c r="C78" s="65">
        <v>142000</v>
      </c>
      <c r="D78" s="8">
        <v>0.8</v>
      </c>
      <c r="E78" s="8">
        <f>(G64*V33)+(H64*AA33)+(I64*AF33)+(J64*AK33)+(K64*AP33)+(L64*AU33)+(M64*AZ33)</f>
        <v>6</v>
      </c>
      <c r="F78" s="8">
        <f t="shared" si="18"/>
        <v>110879.49031782223</v>
      </c>
      <c r="G78" s="8">
        <f t="shared" si="19"/>
        <v>79758.980635644446</v>
      </c>
      <c r="H78" s="8">
        <f t="shared" si="15"/>
        <v>665276.94190693344</v>
      </c>
      <c r="I78" s="14">
        <v>4</v>
      </c>
      <c r="J78" s="14">
        <f t="shared" si="11"/>
        <v>24</v>
      </c>
      <c r="K78" s="14">
        <v>0</v>
      </c>
      <c r="L78" s="14">
        <f t="shared" si="12"/>
        <v>0</v>
      </c>
      <c r="M78" s="14">
        <v>0</v>
      </c>
      <c r="N78" s="14">
        <f t="shared" si="13"/>
        <v>0</v>
      </c>
      <c r="O78" s="14">
        <v>200</v>
      </c>
      <c r="P78" s="14">
        <f t="shared" si="14"/>
        <v>1200</v>
      </c>
    </row>
    <row r="79" spans="2:16" x14ac:dyDescent="0.25">
      <c r="B79" s="67" t="s">
        <v>148</v>
      </c>
      <c r="C79" s="65">
        <v>20000</v>
      </c>
      <c r="D79" s="8">
        <v>0.8</v>
      </c>
      <c r="E79" s="8">
        <f>(D66*C34)+(D65*I34)+(E65*K51)+(F64*P34)+(G64*V34)+(H64*AA34)+(I64*AF34)+(J64*AK34)+(K64*AP34)+(L64*AU34)+(M64*AZ34)</f>
        <v>55</v>
      </c>
      <c r="F79" s="8">
        <f t="shared" si="18"/>
        <v>12752.506510987418</v>
      </c>
      <c r="G79" s="8">
        <f t="shared" si="19"/>
        <v>5505.0130219748353</v>
      </c>
      <c r="H79" s="8">
        <f t="shared" si="15"/>
        <v>701387.85810430802</v>
      </c>
      <c r="I79" s="14">
        <v>0</v>
      </c>
      <c r="J79" s="14">
        <f t="shared" si="11"/>
        <v>0</v>
      </c>
      <c r="K79" s="14">
        <v>1</v>
      </c>
      <c r="L79" s="14">
        <f t="shared" si="12"/>
        <v>55</v>
      </c>
      <c r="M79" s="14">
        <v>2</v>
      </c>
      <c r="N79" s="14">
        <f t="shared" si="13"/>
        <v>110</v>
      </c>
      <c r="O79" s="14">
        <v>110</v>
      </c>
      <c r="P79" s="14">
        <f t="shared" si="14"/>
        <v>6050</v>
      </c>
    </row>
    <row r="80" spans="2:16" x14ac:dyDescent="0.25">
      <c r="B80" s="67" t="s">
        <v>149</v>
      </c>
      <c r="C80" s="65">
        <v>3099</v>
      </c>
      <c r="D80" s="8">
        <v>1</v>
      </c>
      <c r="E80" s="8">
        <f>(D66*C35)+(D65*I35)+(E65*K52)+(F64*P35)+(G64*V35)+(H64*AA35)+(I64*AF35)+(J64*AK35)+(K64*AP35)+(L64*AU35)+(M64*AZ35)</f>
        <v>38</v>
      </c>
      <c r="F80" s="8">
        <f t="shared" si="18"/>
        <v>3099</v>
      </c>
      <c r="G80" s="8">
        <f t="shared" si="19"/>
        <v>3099</v>
      </c>
      <c r="H80" s="8">
        <f t="shared" si="15"/>
        <v>117762</v>
      </c>
      <c r="I80" s="14">
        <v>0</v>
      </c>
      <c r="J80" s="14">
        <f t="shared" si="11"/>
        <v>0</v>
      </c>
      <c r="K80" s="14">
        <v>0</v>
      </c>
      <c r="L80" s="14">
        <f t="shared" si="12"/>
        <v>0</v>
      </c>
      <c r="M80" s="14">
        <v>0</v>
      </c>
      <c r="N80" s="14">
        <f t="shared" si="13"/>
        <v>0</v>
      </c>
      <c r="O80" s="14">
        <v>78.84</v>
      </c>
      <c r="P80" s="14">
        <f t="shared" si="14"/>
        <v>2995.92</v>
      </c>
    </row>
    <row r="81" spans="2:16" x14ac:dyDescent="0.25">
      <c r="B81" s="67" t="s">
        <v>150</v>
      </c>
      <c r="C81" s="65">
        <v>105000</v>
      </c>
      <c r="D81" s="8">
        <v>0.85</v>
      </c>
      <c r="E81" s="8">
        <f>(D66*C36)+(D65*I36)+(E65*K53)+(F64*P36)+(G64*V36)+(H64*AA36)+(I64*AF36)+(J64*AK36)+(K64*AP36)+(L64*AU36)+(M64*AZ36)</f>
        <v>8</v>
      </c>
      <c r="F81" s="8">
        <f t="shared" si="18"/>
        <v>84741.5625</v>
      </c>
      <c r="G81" s="8">
        <f t="shared" si="19"/>
        <v>64483.124999999993</v>
      </c>
      <c r="H81" s="8">
        <f t="shared" si="15"/>
        <v>677932.5</v>
      </c>
      <c r="I81" s="14">
        <v>0</v>
      </c>
      <c r="J81" s="14">
        <f t="shared" si="11"/>
        <v>0</v>
      </c>
      <c r="K81" s="14">
        <v>0</v>
      </c>
      <c r="L81" s="14">
        <f t="shared" si="12"/>
        <v>0</v>
      </c>
      <c r="M81" s="14">
        <v>0</v>
      </c>
      <c r="N81" s="14">
        <f t="shared" si="13"/>
        <v>0</v>
      </c>
      <c r="O81" s="14">
        <v>4204</v>
      </c>
      <c r="P81" s="14">
        <f t="shared" si="14"/>
        <v>33632</v>
      </c>
    </row>
    <row r="82" spans="2:16" x14ac:dyDescent="0.25">
      <c r="B82" s="67" t="s">
        <v>151</v>
      </c>
      <c r="C82" s="65">
        <v>106000</v>
      </c>
      <c r="D82" s="8">
        <v>1</v>
      </c>
      <c r="E82" s="8">
        <f>(D66*C37)+(D65*I37)+(E65*K54)+(F64*P37)+(G64*V37)+(H64*AA37)+(I64*AF37)+(J64*AK37)+(K64*AP37)+(L64*AU37)+(M64*AZ37)</f>
        <v>21</v>
      </c>
      <c r="F82" s="8">
        <f t="shared" si="18"/>
        <v>106000</v>
      </c>
      <c r="G82" s="8">
        <f t="shared" si="19"/>
        <v>106000</v>
      </c>
      <c r="H82" s="8">
        <f t="shared" si="15"/>
        <v>2226000</v>
      </c>
      <c r="I82" s="14">
        <v>0</v>
      </c>
      <c r="J82" s="14">
        <f t="shared" si="11"/>
        <v>0</v>
      </c>
      <c r="K82" s="14">
        <v>0</v>
      </c>
      <c r="L82" s="14">
        <f t="shared" si="12"/>
        <v>0</v>
      </c>
      <c r="M82" s="14">
        <v>0</v>
      </c>
      <c r="N82" s="14">
        <f t="shared" si="13"/>
        <v>0</v>
      </c>
      <c r="O82" s="14">
        <v>1051</v>
      </c>
      <c r="P82" s="14">
        <f t="shared" si="14"/>
        <v>22071</v>
      </c>
    </row>
    <row r="83" spans="2:16" x14ac:dyDescent="0.25">
      <c r="H83" s="64">
        <f>SUM(H70:H82)</f>
        <v>40311867.141212143</v>
      </c>
      <c r="J83">
        <f>SUM(J70:J82)</f>
        <v>108</v>
      </c>
      <c r="L83">
        <f>SUM(L70:L82)</f>
        <v>241.5</v>
      </c>
      <c r="N83">
        <f>SUM(N70:N82)</f>
        <v>208</v>
      </c>
      <c r="P83">
        <f>SUM(P70:P82,O90)</f>
        <v>80253.207999999999</v>
      </c>
    </row>
    <row r="86" spans="2:16" x14ac:dyDescent="0.25">
      <c r="O86">
        <v>50</v>
      </c>
    </row>
    <row r="87" spans="2:16" x14ac:dyDescent="0.25">
      <c r="N87" t="s">
        <v>169</v>
      </c>
      <c r="O87">
        <v>0</v>
      </c>
    </row>
    <row r="88" spans="2:16" x14ac:dyDescent="0.25">
      <c r="N88" t="s">
        <v>170</v>
      </c>
      <c r="O88" s="68">
        <v>2248838</v>
      </c>
    </row>
    <row r="89" spans="2:16" x14ac:dyDescent="0.25">
      <c r="N89" t="s">
        <v>172</v>
      </c>
      <c r="O89">
        <v>0.92</v>
      </c>
    </row>
    <row r="90" spans="2:16" x14ac:dyDescent="0.25">
      <c r="N90" t="s">
        <v>171</v>
      </c>
      <c r="O90">
        <f>(O87*O88*O89)/2</f>
        <v>0</v>
      </c>
    </row>
  </sheetData>
  <mergeCells count="28">
    <mergeCell ref="F68:H68"/>
    <mergeCell ref="I68:P68"/>
    <mergeCell ref="B62:F62"/>
    <mergeCell ref="B50:F50"/>
    <mergeCell ref="B57:F57"/>
    <mergeCell ref="I6:J6"/>
    <mergeCell ref="B6:G6"/>
    <mergeCell ref="B41:C41"/>
    <mergeCell ref="C7:F7"/>
    <mergeCell ref="C8:F8"/>
    <mergeCell ref="C9:F9"/>
    <mergeCell ref="C10:F10"/>
    <mergeCell ref="B12:G12"/>
    <mergeCell ref="J40:M40"/>
    <mergeCell ref="C13:G13"/>
    <mergeCell ref="C14:G14"/>
    <mergeCell ref="C15:G15"/>
    <mergeCell ref="C16:G16"/>
    <mergeCell ref="Z23:AC23"/>
    <mergeCell ref="U23:X23"/>
    <mergeCell ref="O23:R23"/>
    <mergeCell ref="H23:K23"/>
    <mergeCell ref="B23:E23"/>
    <mergeCell ref="AY23:BB23"/>
    <mergeCell ref="AT23:AW23"/>
    <mergeCell ref="AO23:AR23"/>
    <mergeCell ref="AJ23:AM23"/>
    <mergeCell ref="AE23:AH23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D11"/>
  <sheetViews>
    <sheetView workbookViewId="0">
      <selection activeCell="B7" sqref="B7"/>
    </sheetView>
  </sheetViews>
  <sheetFormatPr defaultRowHeight="15.75" x14ac:dyDescent="0.25"/>
  <cols>
    <col min="2" max="2" width="35.625" customWidth="1"/>
    <col min="3" max="3" width="30.5" customWidth="1"/>
    <col min="4" max="4" width="29.75" customWidth="1"/>
  </cols>
  <sheetData>
    <row r="3" spans="2:4" x14ac:dyDescent="0.25">
      <c r="C3" t="s">
        <v>222</v>
      </c>
      <c r="D3" t="s">
        <v>223</v>
      </c>
    </row>
    <row r="4" spans="2:4" x14ac:dyDescent="0.25">
      <c r="B4" t="s">
        <v>220</v>
      </c>
      <c r="C4">
        <f>'Costi operativi diretti'!E10+'Costi opertivi indiretti '!C10</f>
        <v>58866882.15349637</v>
      </c>
      <c r="D4">
        <f>'Costi operativi diretti'!E10+'Costi opertivi indiretti '!C10-(Tipologia!O90*'Costi operativi diretti'!F90)</f>
        <v>58866882.15349637</v>
      </c>
    </row>
    <row r="5" spans="2:4" x14ac:dyDescent="0.25">
      <c r="B5" t="s">
        <v>219</v>
      </c>
      <c r="C5">
        <f>Tipologia!O88</f>
        <v>2248838</v>
      </c>
      <c r="D5">
        <f>Tipologia!O88</f>
        <v>2248838</v>
      </c>
    </row>
    <row r="6" spans="2:4" x14ac:dyDescent="0.25">
      <c r="B6" t="s">
        <v>224</v>
      </c>
      <c r="C6">
        <f>C4/C5</f>
        <v>26.176577482902889</v>
      </c>
      <c r="D6">
        <f>D4/D5</f>
        <v>26.176577482902889</v>
      </c>
    </row>
    <row r="10" spans="2:4" x14ac:dyDescent="0.25">
      <c r="B10" t="s">
        <v>82</v>
      </c>
      <c r="C10">
        <f>'Costi operativi diretti'!E10</f>
        <v>42340968.796435758</v>
      </c>
    </row>
    <row r="11" spans="2:4" x14ac:dyDescent="0.25">
      <c r="B11" t="s">
        <v>83</v>
      </c>
      <c r="C11">
        <f>'Costi opertivi indiretti '!C10</f>
        <v>16525913.357060608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G105"/>
  <sheetViews>
    <sheetView zoomScale="72" zoomScaleNormal="142" workbookViewId="0">
      <selection activeCell="E14" sqref="E14"/>
    </sheetView>
  </sheetViews>
  <sheetFormatPr defaultColWidth="11" defaultRowHeight="15.75" x14ac:dyDescent="0.25"/>
  <cols>
    <col min="4" max="4" width="36.375" customWidth="1"/>
    <col min="5" max="5" width="48.625" customWidth="1"/>
    <col min="6" max="6" width="12" bestFit="1" customWidth="1"/>
  </cols>
  <sheetData>
    <row r="3" spans="4:7" x14ac:dyDescent="0.25">
      <c r="D3" s="115" t="s">
        <v>202</v>
      </c>
      <c r="E3" s="115"/>
    </row>
    <row r="4" spans="4:7" x14ac:dyDescent="0.25">
      <c r="D4" s="7" t="s">
        <v>195</v>
      </c>
      <c r="E4" s="7" t="s">
        <v>194</v>
      </c>
    </row>
    <row r="5" spans="4:7" x14ac:dyDescent="0.25">
      <c r="D5" s="1" t="s">
        <v>196</v>
      </c>
      <c r="E5" s="3">
        <f>F20</f>
        <v>2417924.2471586685</v>
      </c>
    </row>
    <row r="6" spans="4:7" x14ac:dyDescent="0.25">
      <c r="D6" s="8" t="s">
        <v>197</v>
      </c>
      <c r="E6" s="9">
        <f>F52</f>
        <v>36201000</v>
      </c>
    </row>
    <row r="7" spans="4:7" x14ac:dyDescent="0.25">
      <c r="D7" s="10" t="s">
        <v>198</v>
      </c>
      <c r="E7" s="11">
        <f>F92</f>
        <v>93976.506567999997</v>
      </c>
    </row>
    <row r="8" spans="4:7" x14ac:dyDescent="0.25">
      <c r="D8" s="12" t="s">
        <v>199</v>
      </c>
      <c r="E8" s="13">
        <f>F97</f>
        <v>1612474.6856484858</v>
      </c>
    </row>
    <row r="9" spans="4:7" x14ac:dyDescent="0.25">
      <c r="D9" s="14" t="s">
        <v>200</v>
      </c>
      <c r="E9" s="15">
        <f>F104</f>
        <v>2015593.3570606073</v>
      </c>
    </row>
    <row r="10" spans="4:7" x14ac:dyDescent="0.25">
      <c r="D10" s="17" t="s">
        <v>201</v>
      </c>
      <c r="E10" s="18">
        <f>SUM(E5:E9)</f>
        <v>42340968.796435758</v>
      </c>
    </row>
    <row r="12" spans="4:7" x14ac:dyDescent="0.25">
      <c r="E12" s="39"/>
      <c r="F12" s="39"/>
    </row>
    <row r="13" spans="4:7" x14ac:dyDescent="0.25">
      <c r="E13" s="51"/>
      <c r="G13" s="52"/>
    </row>
    <row r="19" spans="4:6" x14ac:dyDescent="0.25">
      <c r="D19" s="116" t="s">
        <v>22</v>
      </c>
      <c r="E19" s="116"/>
      <c r="F19" s="1" t="s">
        <v>21</v>
      </c>
    </row>
    <row r="20" spans="4:6" x14ac:dyDescent="0.25">
      <c r="D20" s="116" t="s">
        <v>23</v>
      </c>
      <c r="E20" s="116"/>
      <c r="F20" s="3">
        <f>F29+F38+F45</f>
        <v>2417924.2471586685</v>
      </c>
    </row>
    <row r="24" spans="4:6" x14ac:dyDescent="0.25">
      <c r="D24" s="116" t="s">
        <v>42</v>
      </c>
      <c r="E24" s="116"/>
      <c r="F24" s="116"/>
    </row>
    <row r="25" spans="4:6" x14ac:dyDescent="0.25">
      <c r="D25" s="19" t="s">
        <v>19</v>
      </c>
      <c r="E25" s="19" t="s">
        <v>24</v>
      </c>
      <c r="F25" s="19" t="s">
        <v>25</v>
      </c>
    </row>
    <row r="26" spans="4:6" x14ac:dyDescent="0.25">
      <c r="D26" s="1" t="s">
        <v>26</v>
      </c>
      <c r="E26" s="1" t="s">
        <v>27</v>
      </c>
      <c r="F26" s="1">
        <v>0.05</v>
      </c>
    </row>
    <row r="27" spans="4:6" x14ac:dyDescent="0.25">
      <c r="D27" s="1" t="s">
        <v>44</v>
      </c>
      <c r="E27" s="1" t="s">
        <v>43</v>
      </c>
      <c r="F27" s="3">
        <f>Tipologia!H83</f>
        <v>40311867.141212143</v>
      </c>
    </row>
    <row r="28" spans="4:6" x14ac:dyDescent="0.25">
      <c r="D28" s="1" t="s">
        <v>29</v>
      </c>
      <c r="E28" s="1" t="s">
        <v>30</v>
      </c>
      <c r="F28" s="1">
        <v>40</v>
      </c>
    </row>
    <row r="29" spans="4:6" x14ac:dyDescent="0.25">
      <c r="E29" s="20" t="s">
        <v>31</v>
      </c>
      <c r="F29" s="21">
        <f>(1-F26)*F27/F28</f>
        <v>957406.84460378834</v>
      </c>
    </row>
    <row r="32" spans="4:6" x14ac:dyDescent="0.25">
      <c r="D32" s="116" t="s">
        <v>32</v>
      </c>
      <c r="E32" s="105"/>
      <c r="F32" s="105"/>
    </row>
    <row r="33" spans="4:6" x14ac:dyDescent="0.25">
      <c r="D33" s="19" t="s">
        <v>19</v>
      </c>
      <c r="E33" s="19" t="s">
        <v>24</v>
      </c>
      <c r="F33" s="19" t="s">
        <v>33</v>
      </c>
    </row>
    <row r="34" spans="4:6" x14ac:dyDescent="0.25">
      <c r="D34" s="1" t="s">
        <v>34</v>
      </c>
      <c r="E34" s="1" t="s">
        <v>45</v>
      </c>
      <c r="F34" s="1">
        <v>0.05</v>
      </c>
    </row>
    <row r="35" spans="4:6" x14ac:dyDescent="0.25">
      <c r="D35" s="1" t="s">
        <v>35</v>
      </c>
      <c r="E35" s="1" t="s">
        <v>160</v>
      </c>
      <c r="F35" s="3">
        <f>Tipologia!H83</f>
        <v>40311867.141212143</v>
      </c>
    </row>
    <row r="36" spans="4:6" x14ac:dyDescent="0.25">
      <c r="D36" s="1" t="s">
        <v>36</v>
      </c>
      <c r="E36" s="1" t="s">
        <v>37</v>
      </c>
      <c r="F36" s="3">
        <f>F34*F35</f>
        <v>2015593.3570606073</v>
      </c>
    </row>
    <row r="37" spans="4:6" x14ac:dyDescent="0.25">
      <c r="D37" s="1" t="s">
        <v>38</v>
      </c>
      <c r="E37" s="1" t="s">
        <v>39</v>
      </c>
      <c r="F37" s="1">
        <v>20</v>
      </c>
    </row>
    <row r="38" spans="4:6" x14ac:dyDescent="0.25">
      <c r="E38" s="1" t="s">
        <v>40</v>
      </c>
      <c r="F38" s="3">
        <f>(F34*(F35-F36))/(1-(1+F34)^(-F37))-(F35/F37)</f>
        <v>1057398.7311427589</v>
      </c>
    </row>
    <row r="42" spans="4:6" x14ac:dyDescent="0.25">
      <c r="D42" s="116" t="s">
        <v>41</v>
      </c>
      <c r="E42" s="116"/>
      <c r="F42" s="116"/>
    </row>
    <row r="43" spans="4:6" x14ac:dyDescent="0.25">
      <c r="D43" s="19" t="s">
        <v>19</v>
      </c>
      <c r="E43" s="19" t="s">
        <v>24</v>
      </c>
      <c r="F43" s="19" t="s">
        <v>25</v>
      </c>
    </row>
    <row r="44" spans="4:6" x14ac:dyDescent="0.25">
      <c r="D44" s="1" t="s">
        <v>28</v>
      </c>
      <c r="E44" s="1" t="s">
        <v>43</v>
      </c>
      <c r="F44" s="3">
        <f>Tipologia!H83</f>
        <v>40311867.141212143</v>
      </c>
    </row>
    <row r="45" spans="4:6" x14ac:dyDescent="0.25">
      <c r="E45" s="1" t="s">
        <v>31</v>
      </c>
      <c r="F45" s="3">
        <f>0.01*F44</f>
        <v>403118.67141212145</v>
      </c>
    </row>
    <row r="51" spans="4:6" x14ac:dyDescent="0.25">
      <c r="D51" s="109" t="s">
        <v>46</v>
      </c>
      <c r="E51" s="110"/>
      <c r="F51" s="22" t="s">
        <v>21</v>
      </c>
    </row>
    <row r="52" spans="4:6" x14ac:dyDescent="0.25">
      <c r="D52" s="109" t="s">
        <v>77</v>
      </c>
      <c r="E52" s="110"/>
      <c r="F52" s="23">
        <f>F60+F68+F75+F84+F82</f>
        <v>36201000</v>
      </c>
    </row>
    <row r="56" spans="4:6" x14ac:dyDescent="0.25">
      <c r="D56" s="109" t="s">
        <v>51</v>
      </c>
      <c r="E56" s="90"/>
      <c r="F56" s="110"/>
    </row>
    <row r="57" spans="4:6" x14ac:dyDescent="0.25">
      <c r="D57" s="24" t="s">
        <v>19</v>
      </c>
      <c r="E57" s="24" t="s">
        <v>24</v>
      </c>
      <c r="F57" s="24" t="s">
        <v>33</v>
      </c>
    </row>
    <row r="58" spans="4:6" x14ac:dyDescent="0.25">
      <c r="D58" s="25" t="s">
        <v>50</v>
      </c>
      <c r="E58" s="25" t="s">
        <v>47</v>
      </c>
      <c r="F58" s="25">
        <f>Tipologia!J83</f>
        <v>108</v>
      </c>
    </row>
    <row r="59" spans="4:6" x14ac:dyDescent="0.25">
      <c r="D59" s="25" t="s">
        <v>49</v>
      </c>
      <c r="E59" s="25" t="s">
        <v>167</v>
      </c>
      <c r="F59" s="26">
        <v>81000</v>
      </c>
    </row>
    <row r="60" spans="4:6" x14ac:dyDescent="0.25">
      <c r="E60" s="28" t="s">
        <v>31</v>
      </c>
      <c r="F60" s="29">
        <f>F59*F58</f>
        <v>8748000</v>
      </c>
    </row>
    <row r="64" spans="4:6" x14ac:dyDescent="0.25">
      <c r="D64" s="109" t="s">
        <v>52</v>
      </c>
      <c r="E64" s="90"/>
      <c r="F64" s="110"/>
    </row>
    <row r="65" spans="4:6" x14ac:dyDescent="0.25">
      <c r="D65" s="24" t="s">
        <v>19</v>
      </c>
      <c r="E65" s="24" t="s">
        <v>24</v>
      </c>
      <c r="F65" s="24" t="s">
        <v>33</v>
      </c>
    </row>
    <row r="66" spans="4:6" x14ac:dyDescent="0.25">
      <c r="D66" s="25" t="s">
        <v>53</v>
      </c>
      <c r="E66" s="25" t="s">
        <v>55</v>
      </c>
      <c r="F66" s="25">
        <f>Tipologia!L83</f>
        <v>241.5</v>
      </c>
    </row>
    <row r="67" spans="4:6" x14ac:dyDescent="0.25">
      <c r="D67" s="25" t="s">
        <v>54</v>
      </c>
      <c r="E67" s="25" t="s">
        <v>221</v>
      </c>
      <c r="F67" s="26">
        <v>62000</v>
      </c>
    </row>
    <row r="68" spans="4:6" x14ac:dyDescent="0.25">
      <c r="E68" s="28" t="s">
        <v>31</v>
      </c>
      <c r="F68" s="29">
        <f>F67*F66</f>
        <v>14973000</v>
      </c>
    </row>
    <row r="71" spans="4:6" x14ac:dyDescent="0.25">
      <c r="D71" s="109" t="s">
        <v>56</v>
      </c>
      <c r="E71" s="90"/>
      <c r="F71" s="110"/>
    </row>
    <row r="72" spans="4:6" x14ac:dyDescent="0.25">
      <c r="D72" s="24" t="s">
        <v>19</v>
      </c>
      <c r="E72" s="24" t="s">
        <v>24</v>
      </c>
      <c r="F72" s="24" t="s">
        <v>33</v>
      </c>
    </row>
    <row r="73" spans="4:6" x14ac:dyDescent="0.25">
      <c r="D73" s="25" t="s">
        <v>57</v>
      </c>
      <c r="E73" s="25" t="s">
        <v>59</v>
      </c>
      <c r="F73" s="25">
        <v>0</v>
      </c>
    </row>
    <row r="74" spans="4:6" x14ac:dyDescent="0.25">
      <c r="D74" s="25" t="s">
        <v>58</v>
      </c>
      <c r="E74" s="25" t="s">
        <v>221</v>
      </c>
      <c r="F74" s="26">
        <v>37500</v>
      </c>
    </row>
    <row r="75" spans="4:6" x14ac:dyDescent="0.25">
      <c r="E75" s="28" t="s">
        <v>31</v>
      </c>
      <c r="F75" s="29">
        <f>F74*F73</f>
        <v>0</v>
      </c>
    </row>
    <row r="78" spans="4:6" x14ac:dyDescent="0.25">
      <c r="D78" s="109" t="s">
        <v>108</v>
      </c>
      <c r="E78" s="90"/>
      <c r="F78" s="110"/>
    </row>
    <row r="79" spans="4:6" x14ac:dyDescent="0.25">
      <c r="D79" s="24" t="s">
        <v>19</v>
      </c>
      <c r="E79" s="24" t="s">
        <v>24</v>
      </c>
      <c r="F79" s="24" t="s">
        <v>33</v>
      </c>
    </row>
    <row r="80" spans="4:6" x14ac:dyDescent="0.25">
      <c r="D80" s="25" t="s">
        <v>57</v>
      </c>
      <c r="E80" s="25" t="s">
        <v>109</v>
      </c>
      <c r="F80" s="25">
        <f>Tipologia!N83</f>
        <v>208</v>
      </c>
    </row>
    <row r="81" spans="4:6" x14ac:dyDescent="0.25">
      <c r="D81" s="25" t="s">
        <v>58</v>
      </c>
      <c r="E81" s="25" t="s">
        <v>221</v>
      </c>
      <c r="F81" s="26">
        <v>60000</v>
      </c>
    </row>
    <row r="82" spans="4:6" x14ac:dyDescent="0.25">
      <c r="E82" s="28" t="s">
        <v>31</v>
      </c>
      <c r="F82" s="29">
        <f>F81*F80</f>
        <v>12480000</v>
      </c>
    </row>
    <row r="83" spans="4:6" x14ac:dyDescent="0.25">
      <c r="F83" s="39"/>
    </row>
    <row r="84" spans="4:6" x14ac:dyDescent="0.25">
      <c r="F84" s="39"/>
    </row>
    <row r="88" spans="4:6" x14ac:dyDescent="0.25">
      <c r="D88" s="111" t="s">
        <v>63</v>
      </c>
      <c r="E88" s="112"/>
      <c r="F88" s="113"/>
    </row>
    <row r="89" spans="4:6" x14ac:dyDescent="0.25">
      <c r="D89" s="32" t="s">
        <v>19</v>
      </c>
      <c r="E89" s="33" t="s">
        <v>24</v>
      </c>
      <c r="F89" s="33" t="s">
        <v>25</v>
      </c>
    </row>
    <row r="90" spans="4:6" x14ac:dyDescent="0.25">
      <c r="D90" s="34" t="s">
        <v>61</v>
      </c>
      <c r="E90" s="35" t="s">
        <v>62</v>
      </c>
      <c r="F90" s="36">
        <v>1.171</v>
      </c>
    </row>
    <row r="91" spans="4:6" x14ac:dyDescent="0.25">
      <c r="D91" s="34" t="s">
        <v>64</v>
      </c>
      <c r="E91" s="35" t="s">
        <v>174</v>
      </c>
      <c r="F91" s="36">
        <f>Tipologia!P83</f>
        <v>80253.207999999999</v>
      </c>
    </row>
    <row r="92" spans="4:6" x14ac:dyDescent="0.25">
      <c r="D92" s="37"/>
      <c r="E92" s="34" t="s">
        <v>31</v>
      </c>
      <c r="F92" s="38">
        <f>F90*F91</f>
        <v>93976.506567999997</v>
      </c>
    </row>
    <row r="96" spans="4:6" x14ac:dyDescent="0.25">
      <c r="D96" s="114" t="s">
        <v>65</v>
      </c>
      <c r="E96" s="114"/>
      <c r="F96" s="12" t="s">
        <v>21</v>
      </c>
    </row>
    <row r="97" spans="4:6" x14ac:dyDescent="0.25">
      <c r="D97" s="114" t="s">
        <v>177</v>
      </c>
      <c r="E97" s="114"/>
      <c r="F97" s="13">
        <f>F98*0.04</f>
        <v>1612474.6856484858</v>
      </c>
    </row>
    <row r="98" spans="4:6" x14ac:dyDescent="0.25">
      <c r="D98" s="12" t="s">
        <v>44</v>
      </c>
      <c r="E98" s="12" t="s">
        <v>67</v>
      </c>
      <c r="F98" s="13">
        <f>Tipologia!H83</f>
        <v>40311867.141212143</v>
      </c>
    </row>
    <row r="103" spans="4:6" x14ac:dyDescent="0.25">
      <c r="D103" s="108" t="s">
        <v>66</v>
      </c>
      <c r="E103" s="108"/>
      <c r="F103" s="14" t="s">
        <v>21</v>
      </c>
    </row>
    <row r="104" spans="4:6" x14ac:dyDescent="0.25">
      <c r="D104" s="108" t="s">
        <v>68</v>
      </c>
      <c r="E104" s="108"/>
      <c r="F104" s="15">
        <f>0.05*F105</f>
        <v>2015593.3570606073</v>
      </c>
    </row>
    <row r="105" spans="4:6" x14ac:dyDescent="0.25">
      <c r="D105" s="14" t="s">
        <v>44</v>
      </c>
      <c r="E105" s="14" t="s">
        <v>67</v>
      </c>
      <c r="F105" s="15">
        <f>Tipologia!H83</f>
        <v>40311867.141212143</v>
      </c>
    </row>
  </sheetData>
  <mergeCells count="17">
    <mergeCell ref="D3:E3"/>
    <mergeCell ref="D19:E19"/>
    <mergeCell ref="D20:E20"/>
    <mergeCell ref="D24:F24"/>
    <mergeCell ref="D42:F42"/>
    <mergeCell ref="D32:F32"/>
    <mergeCell ref="D104:E104"/>
    <mergeCell ref="D51:E51"/>
    <mergeCell ref="D52:E52"/>
    <mergeCell ref="D56:F56"/>
    <mergeCell ref="D64:F64"/>
    <mergeCell ref="D71:F71"/>
    <mergeCell ref="D78:F78"/>
    <mergeCell ref="D88:F88"/>
    <mergeCell ref="D96:E96"/>
    <mergeCell ref="D97:E97"/>
    <mergeCell ref="D103:E10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49"/>
  <sheetViews>
    <sheetView zoomScale="83" workbookViewId="0">
      <selection activeCell="B4" sqref="B4:C10"/>
    </sheetView>
  </sheetViews>
  <sheetFormatPr defaultColWidth="11" defaultRowHeight="15.75" x14ac:dyDescent="0.25"/>
  <cols>
    <col min="2" max="2" width="28.625" customWidth="1"/>
    <col min="3" max="3" width="55.5" customWidth="1"/>
    <col min="4" max="4" width="31.125" customWidth="1"/>
  </cols>
  <sheetData>
    <row r="4" spans="2:3" x14ac:dyDescent="0.25">
      <c r="B4" s="119" t="s">
        <v>203</v>
      </c>
      <c r="C4" s="120"/>
    </row>
    <row r="5" spans="2:3" x14ac:dyDescent="0.25">
      <c r="B5" s="75" t="s">
        <v>195</v>
      </c>
      <c r="C5" s="75" t="s">
        <v>194</v>
      </c>
    </row>
    <row r="6" spans="2:3" x14ac:dyDescent="0.25">
      <c r="B6" s="76" t="s">
        <v>204</v>
      </c>
      <c r="C6" s="47">
        <f>D24</f>
        <v>2725593.3570606075</v>
      </c>
    </row>
    <row r="7" spans="2:3" x14ac:dyDescent="0.25">
      <c r="B7" s="77" t="s">
        <v>205</v>
      </c>
      <c r="C7" s="42">
        <f>D33</f>
        <v>10480000</v>
      </c>
    </row>
    <row r="8" spans="2:3" x14ac:dyDescent="0.25">
      <c r="B8" s="78" t="s">
        <v>206</v>
      </c>
      <c r="C8" s="41">
        <f>D40</f>
        <v>980020</v>
      </c>
    </row>
    <row r="9" spans="2:3" x14ac:dyDescent="0.25">
      <c r="B9" s="74" t="s">
        <v>207</v>
      </c>
      <c r="C9" s="16">
        <f>D49</f>
        <v>2340300</v>
      </c>
    </row>
    <row r="10" spans="2:3" x14ac:dyDescent="0.25">
      <c r="B10" t="s">
        <v>21</v>
      </c>
      <c r="C10" s="39">
        <f>SUM(C6:C9)</f>
        <v>16525913.357060608</v>
      </c>
    </row>
    <row r="18" spans="2:4" x14ac:dyDescent="0.25">
      <c r="B18" s="91" t="s">
        <v>78</v>
      </c>
      <c r="C18" s="92"/>
      <c r="D18" s="93"/>
    </row>
    <row r="19" spans="2:4" x14ac:dyDescent="0.25">
      <c r="B19" s="91" t="s">
        <v>178</v>
      </c>
      <c r="C19" s="92"/>
      <c r="D19" s="93"/>
    </row>
    <row r="20" spans="2:4" x14ac:dyDescent="0.25">
      <c r="B20" s="48" t="s">
        <v>19</v>
      </c>
      <c r="C20" s="48" t="s">
        <v>24</v>
      </c>
      <c r="D20" s="48" t="s">
        <v>33</v>
      </c>
    </row>
    <row r="21" spans="2:4" x14ac:dyDescent="0.25">
      <c r="B21" s="14" t="s">
        <v>44</v>
      </c>
      <c r="C21" s="14" t="s">
        <v>43</v>
      </c>
      <c r="D21" s="15">
        <f>Tipologia!H83</f>
        <v>40311867.141212143</v>
      </c>
    </row>
    <row r="22" spans="2:4" x14ac:dyDescent="0.25">
      <c r="B22" s="14" t="s">
        <v>179</v>
      </c>
      <c r="C22" s="14" t="s">
        <v>181</v>
      </c>
      <c r="D22" s="69">
        <v>71000</v>
      </c>
    </row>
    <row r="23" spans="2:4" x14ac:dyDescent="0.25">
      <c r="B23" s="14" t="s">
        <v>180</v>
      </c>
      <c r="C23" s="14" t="s">
        <v>182</v>
      </c>
      <c r="D23" s="70">
        <v>10</v>
      </c>
    </row>
    <row r="24" spans="2:4" x14ac:dyDescent="0.25">
      <c r="C24" s="49" t="s">
        <v>31</v>
      </c>
      <c r="D24" s="50">
        <f>D21*0.05+D22*D23</f>
        <v>2725593.3570606075</v>
      </c>
    </row>
    <row r="26" spans="2:4" x14ac:dyDescent="0.25">
      <c r="B26" s="122" t="s">
        <v>80</v>
      </c>
      <c r="C26" s="123"/>
      <c r="D26" s="124"/>
    </row>
    <row r="27" spans="2:4" x14ac:dyDescent="0.25">
      <c r="B27" s="122" t="s">
        <v>87</v>
      </c>
      <c r="C27" s="123"/>
      <c r="D27" s="124"/>
    </row>
    <row r="28" spans="2:4" x14ac:dyDescent="0.25">
      <c r="B28" s="43" t="s">
        <v>19</v>
      </c>
      <c r="C28" s="43" t="s">
        <v>24</v>
      </c>
      <c r="D28" s="43" t="s">
        <v>33</v>
      </c>
    </row>
    <row r="29" spans="2:4" x14ac:dyDescent="0.25">
      <c r="B29" s="12" t="s">
        <v>69</v>
      </c>
      <c r="C29" s="12" t="s">
        <v>73</v>
      </c>
      <c r="D29" s="12">
        <f>(Tipologia!C66*Tipologia!C8)+(Tipologia!C9*Tipologia!C65)+(Tipologia!C64*Tipologia!C10)</f>
        <v>65.5</v>
      </c>
    </row>
    <row r="30" spans="2:4" x14ac:dyDescent="0.25">
      <c r="B30" s="12" t="s">
        <v>70</v>
      </c>
      <c r="C30" s="12" t="s">
        <v>48</v>
      </c>
      <c r="D30" s="44">
        <v>80000</v>
      </c>
    </row>
    <row r="31" spans="2:4" x14ac:dyDescent="0.25">
      <c r="B31" s="12" t="s">
        <v>71</v>
      </c>
      <c r="C31" s="12" t="s">
        <v>74</v>
      </c>
      <c r="D31" s="12">
        <f>(Tipologia!G8*Tipologia!C66)+(Tipologia!C65*Tipologia!G9)+(Tipologia!G10*Tipologia!C64)</f>
        <v>65.5</v>
      </c>
    </row>
    <row r="32" spans="2:4" x14ac:dyDescent="0.25">
      <c r="B32" s="12" t="s">
        <v>72</v>
      </c>
      <c r="C32" s="12" t="s">
        <v>48</v>
      </c>
      <c r="D32" s="13">
        <v>80000</v>
      </c>
    </row>
    <row r="33" spans="2:4" x14ac:dyDescent="0.25">
      <c r="C33" s="45" t="s">
        <v>31</v>
      </c>
      <c r="D33" s="46">
        <f>D30*D29+D31*D32</f>
        <v>10480000</v>
      </c>
    </row>
    <row r="36" spans="2:4" x14ac:dyDescent="0.25">
      <c r="B36" s="109" t="s">
        <v>79</v>
      </c>
      <c r="C36" s="117"/>
      <c r="D36" s="118"/>
    </row>
    <row r="37" spans="2:4" x14ac:dyDescent="0.25">
      <c r="B37" s="109" t="s">
        <v>75</v>
      </c>
      <c r="C37" s="117"/>
      <c r="D37" s="118"/>
    </row>
    <row r="38" spans="2:4" x14ac:dyDescent="0.25">
      <c r="B38" s="24" t="s">
        <v>19</v>
      </c>
      <c r="C38" s="24" t="s">
        <v>24</v>
      </c>
      <c r="D38" s="24" t="s">
        <v>33</v>
      </c>
    </row>
    <row r="39" spans="2:4" x14ac:dyDescent="0.25">
      <c r="B39" s="27" t="s">
        <v>76</v>
      </c>
      <c r="C39" s="25" t="s">
        <v>60</v>
      </c>
      <c r="D39" s="26">
        <f>(D46*D47)+(D29*D30)+(D31*D32)+'Costi operativi diretti'!F52</f>
        <v>49001000</v>
      </c>
    </row>
    <row r="40" spans="2:4" x14ac:dyDescent="0.25">
      <c r="B40" s="31"/>
      <c r="C40" s="30" t="s">
        <v>31</v>
      </c>
      <c r="D40" s="29">
        <f>0.02*D39</f>
        <v>980020</v>
      </c>
    </row>
    <row r="43" spans="2:4" x14ac:dyDescent="0.25">
      <c r="B43" s="121" t="s">
        <v>184</v>
      </c>
      <c r="C43" s="121"/>
      <c r="D43" s="121"/>
    </row>
    <row r="44" spans="2:4" x14ac:dyDescent="0.25">
      <c r="B44" s="121" t="s">
        <v>192</v>
      </c>
      <c r="C44" s="121"/>
      <c r="D44" s="121"/>
    </row>
    <row r="45" spans="2:4" x14ac:dyDescent="0.25">
      <c r="B45" s="71" t="s">
        <v>19</v>
      </c>
      <c r="C45" s="71" t="s">
        <v>24</v>
      </c>
      <c r="D45" s="71" t="s">
        <v>33</v>
      </c>
    </row>
    <row r="46" spans="2:4" x14ac:dyDescent="0.25">
      <c r="B46" s="72" t="s">
        <v>185</v>
      </c>
      <c r="C46" s="72" t="s">
        <v>188</v>
      </c>
      <c r="D46" s="72">
        <f>(Tipologia!C66*Tipologia!C14)+(Tipologia!C15*Tipologia!C65)+(Tipologia!C64*Tipologia!C16)</f>
        <v>29</v>
      </c>
    </row>
    <row r="47" spans="2:4" x14ac:dyDescent="0.25">
      <c r="B47" s="72" t="s">
        <v>186</v>
      </c>
      <c r="C47" s="72" t="s">
        <v>189</v>
      </c>
      <c r="D47" s="73">
        <v>80000</v>
      </c>
    </row>
    <row r="48" spans="2:4" x14ac:dyDescent="0.25">
      <c r="B48" s="72" t="s">
        <v>187</v>
      </c>
      <c r="C48" s="72" t="s">
        <v>190</v>
      </c>
      <c r="D48" s="73">
        <v>700</v>
      </c>
    </row>
    <row r="49" spans="3:4" x14ac:dyDescent="0.25">
      <c r="C49" s="72" t="s">
        <v>21</v>
      </c>
      <c r="D49" s="73">
        <f>(D46*D47)+(D48*D46)</f>
        <v>2340300</v>
      </c>
    </row>
  </sheetData>
  <mergeCells count="9">
    <mergeCell ref="B18:D18"/>
    <mergeCell ref="B36:D36"/>
    <mergeCell ref="B4:C4"/>
    <mergeCell ref="B43:D43"/>
    <mergeCell ref="B44:D44"/>
    <mergeCell ref="B37:D37"/>
    <mergeCell ref="B26:D26"/>
    <mergeCell ref="B27:D27"/>
    <mergeCell ref="B19:D1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S55"/>
  <sheetViews>
    <sheetView tabSelected="1" topLeftCell="O1" zoomScale="90" zoomScaleNormal="80" workbookViewId="0">
      <selection activeCell="C53" sqref="C53:S55"/>
    </sheetView>
  </sheetViews>
  <sheetFormatPr defaultRowHeight="15.75" x14ac:dyDescent="0.25"/>
  <cols>
    <col min="2" max="2" width="11" customWidth="1"/>
    <col min="3" max="13" width="16" bestFit="1" customWidth="1"/>
    <col min="14" max="19" width="14.5" bestFit="1" customWidth="1"/>
  </cols>
  <sheetData>
    <row r="3" spans="2:19" x14ac:dyDescent="0.25">
      <c r="C3" t="s">
        <v>225</v>
      </c>
      <c r="D3" t="s">
        <v>226</v>
      </c>
      <c r="E3" t="s">
        <v>227</v>
      </c>
      <c r="F3" t="s">
        <v>228</v>
      </c>
      <c r="G3" t="s">
        <v>229</v>
      </c>
    </row>
    <row r="4" spans="2:19" x14ac:dyDescent="0.25">
      <c r="B4" t="s">
        <v>94</v>
      </c>
      <c r="C4">
        <v>8.9550000000000001</v>
      </c>
      <c r="D4">
        <f>60/C4</f>
        <v>6.700167504187605</v>
      </c>
      <c r="E4">
        <v>13.5</v>
      </c>
      <c r="F4">
        <f>D4*E4*((Tipologia!F64*3)+(Tipologia!G64*4)+(Tipologia!H64*5)+(Tipologia!I64*6)+(Tipologia!J64*7)+(Tipologia!K64*8)+(Tipologia!L64*9)+(Tipologia!M64*10))</f>
        <v>3708.5427135678392</v>
      </c>
      <c r="G4">
        <f>F4*365*0.81</f>
        <v>1096430.6532663316</v>
      </c>
      <c r="K4" t="s">
        <v>231</v>
      </c>
      <c r="L4">
        <f>C10*G7*C16</f>
        <v>262795396.40478075</v>
      </c>
    </row>
    <row r="5" spans="2:19" x14ac:dyDescent="0.25">
      <c r="B5" t="s">
        <v>113</v>
      </c>
      <c r="C5">
        <v>8</v>
      </c>
      <c r="D5">
        <f>60/C5</f>
        <v>7.5</v>
      </c>
      <c r="E5">
        <v>11.5</v>
      </c>
      <c r="F5">
        <f>D5*E5*((Tipologia!D65*1)+(Tipologia!E65*2))</f>
        <v>1552.5</v>
      </c>
      <c r="G5">
        <f t="shared" ref="G5:G6" si="0">F5*365*0.81</f>
        <v>458996.62500000006</v>
      </c>
      <c r="K5" t="s">
        <v>232</v>
      </c>
      <c r="L5">
        <f>(C13*G7)+'Costi operativi diretti'!E10+'Costi opertivi indiretti '!C10</f>
        <v>261400827.26271689</v>
      </c>
      <c r="S5" t="s">
        <v>120</v>
      </c>
    </row>
    <row r="6" spans="2:19" x14ac:dyDescent="0.25">
      <c r="B6" t="s">
        <v>114</v>
      </c>
      <c r="C6">
        <v>6.9749999999999996</v>
      </c>
      <c r="D6">
        <f>60/C6</f>
        <v>8.6021505376344098</v>
      </c>
      <c r="E6">
        <v>11.5</v>
      </c>
      <c r="F6">
        <f>D6*E6*Tipologia!D66</f>
        <v>2967.7419354838712</v>
      </c>
      <c r="G6">
        <f t="shared" si="0"/>
        <v>877412.90322580666</v>
      </c>
      <c r="K6" t="s">
        <v>236</v>
      </c>
      <c r="L6">
        <f>L4-L5</f>
        <v>1394569.1420638561</v>
      </c>
    </row>
    <row r="7" spans="2:19" x14ac:dyDescent="0.25">
      <c r="F7">
        <f>SUM(F4:F6)</f>
        <v>8228.7846490517113</v>
      </c>
      <c r="G7">
        <f>SUM(G4:G6)</f>
        <v>2432840.1814921382</v>
      </c>
    </row>
    <row r="10" spans="2:19" x14ac:dyDescent="0.25">
      <c r="B10" t="s">
        <v>230</v>
      </c>
      <c r="C10">
        <v>54.01</v>
      </c>
    </row>
    <row r="12" spans="2:19" x14ac:dyDescent="0.25">
      <c r="B12" t="s">
        <v>234</v>
      </c>
      <c r="C12">
        <v>333</v>
      </c>
    </row>
    <row r="13" spans="2:19" x14ac:dyDescent="0.25">
      <c r="B13" t="s">
        <v>235</v>
      </c>
      <c r="C13">
        <f>C12/4</f>
        <v>83.25</v>
      </c>
    </row>
    <row r="16" spans="2:19" x14ac:dyDescent="0.25">
      <c r="B16" t="s">
        <v>233</v>
      </c>
      <c r="C16">
        <v>2</v>
      </c>
    </row>
    <row r="20" spans="2:13" x14ac:dyDescent="0.25">
      <c r="B20" t="s">
        <v>237</v>
      </c>
      <c r="C20">
        <v>0</v>
      </c>
      <c r="D20">
        <v>5</v>
      </c>
      <c r="E20">
        <v>10</v>
      </c>
      <c r="F20">
        <v>15</v>
      </c>
      <c r="G20">
        <v>20</v>
      </c>
      <c r="H20">
        <v>25</v>
      </c>
      <c r="I20">
        <v>30</v>
      </c>
      <c r="J20">
        <v>35</v>
      </c>
      <c r="K20">
        <v>40</v>
      </c>
      <c r="L20">
        <v>45</v>
      </c>
      <c r="M20">
        <v>50</v>
      </c>
    </row>
    <row r="21" spans="2:13" x14ac:dyDescent="0.25">
      <c r="B21" t="s">
        <v>242</v>
      </c>
      <c r="C21" s="79">
        <v>168017254.59832913</v>
      </c>
      <c r="D21" s="79">
        <v>183813611.56607106</v>
      </c>
      <c r="E21" s="79">
        <v>199609968.533813</v>
      </c>
      <c r="F21" s="79">
        <v>215406325.50155494</v>
      </c>
      <c r="G21" s="79">
        <v>231202682.46929687</v>
      </c>
      <c r="H21" s="79">
        <v>246999039.43703881</v>
      </c>
      <c r="I21" s="79">
        <v>262795396.40478075</v>
      </c>
      <c r="J21" s="79">
        <v>278591753.37252271</v>
      </c>
      <c r="K21" s="79">
        <v>294388110.34026462</v>
      </c>
      <c r="L21" s="79">
        <v>310184467.30800658</v>
      </c>
      <c r="M21" s="79">
        <v>325980824.27574849</v>
      </c>
    </row>
    <row r="22" spans="2:13" x14ac:dyDescent="0.25">
      <c r="B22" t="s">
        <v>194</v>
      </c>
      <c r="C22" s="79">
        <v>167599863.56449944</v>
      </c>
      <c r="D22" s="79">
        <v>183238075.10351813</v>
      </c>
      <c r="E22" s="79">
        <v>198873957.48959538</v>
      </c>
      <c r="F22" s="79">
        <v>214507931.54689118</v>
      </c>
      <c r="G22" s="79">
        <v>230140275.20112172</v>
      </c>
      <c r="H22" s="79">
        <v>245771189.24466574</v>
      </c>
      <c r="I22" s="79">
        <v>261400827.26271689</v>
      </c>
      <c r="J22" s="79">
        <v>277029311.44784158</v>
      </c>
      <c r="K22" s="79">
        <v>292656741.84895581</v>
      </c>
      <c r="L22" s="79">
        <v>308283202.19406903</v>
      </c>
      <c r="M22" s="79">
        <v>323908763.76720726</v>
      </c>
    </row>
    <row r="23" spans="2:13" x14ac:dyDescent="0.25">
      <c r="B23" t="s">
        <v>243</v>
      </c>
      <c r="C23" s="79">
        <v>417391.03382968903</v>
      </c>
      <c r="D23" s="79">
        <v>575536.46255293489</v>
      </c>
      <c r="E23" s="79">
        <v>736011.04421761632</v>
      </c>
      <c r="F23" s="79">
        <v>898393.95466375351</v>
      </c>
      <c r="G23" s="79">
        <v>1062407.2681751549</v>
      </c>
      <c r="H23" s="79">
        <v>1227850.1923730671</v>
      </c>
      <c r="I23" s="79">
        <v>1394569.1420638561</v>
      </c>
      <c r="J23" s="79">
        <v>1562441.9246811271</v>
      </c>
      <c r="K23" s="79">
        <v>1731368.4913088083</v>
      </c>
      <c r="L23" s="79">
        <v>1901265.1139375567</v>
      </c>
      <c r="M23" s="79">
        <v>2072060.5085412264</v>
      </c>
    </row>
    <row r="27" spans="2:13" x14ac:dyDescent="0.25">
      <c r="B27" t="s">
        <v>238</v>
      </c>
      <c r="C27">
        <v>0</v>
      </c>
      <c r="D27">
        <v>2</v>
      </c>
      <c r="E27">
        <v>4</v>
      </c>
      <c r="F27">
        <v>6</v>
      </c>
      <c r="G27">
        <v>8</v>
      </c>
      <c r="H27">
        <v>10</v>
      </c>
      <c r="I27">
        <v>12</v>
      </c>
      <c r="J27">
        <v>14</v>
      </c>
      <c r="K27">
        <v>16</v>
      </c>
      <c r="L27">
        <v>18</v>
      </c>
      <c r="M27">
        <v>20</v>
      </c>
    </row>
    <row r="28" spans="2:13" x14ac:dyDescent="0.25">
      <c r="B28" t="s">
        <v>242</v>
      </c>
      <c r="C28" s="79">
        <v>218723560.46478075</v>
      </c>
      <c r="D28" s="79">
        <v>229741519.44978076</v>
      </c>
      <c r="E28" s="79">
        <v>240759478.43478075</v>
      </c>
      <c r="F28" s="79">
        <v>251777437.41978076</v>
      </c>
      <c r="G28" s="79">
        <v>262795396.40478075</v>
      </c>
      <c r="H28" s="79">
        <v>273813355.38978076</v>
      </c>
      <c r="I28" s="79">
        <v>284831314.37478077</v>
      </c>
      <c r="J28" s="79">
        <v>295849273.35978073</v>
      </c>
      <c r="K28" s="79">
        <v>306867232.34478074</v>
      </c>
      <c r="L28" s="79">
        <v>317885191.32978076</v>
      </c>
      <c r="M28" s="79">
        <v>328903150.31478077</v>
      </c>
    </row>
    <row r="29" spans="2:13" x14ac:dyDescent="0.25">
      <c r="B29" t="s">
        <v>194</v>
      </c>
      <c r="C29" s="79">
        <v>217643418.61755377</v>
      </c>
      <c r="D29" s="79">
        <v>228584185.7019769</v>
      </c>
      <c r="E29" s="79">
        <v>239523963.2046296</v>
      </c>
      <c r="F29" s="79">
        <v>250462822.8515884</v>
      </c>
      <c r="G29" s="79">
        <v>261400827.26271689</v>
      </c>
      <c r="H29" s="79">
        <v>272338031.56994772</v>
      </c>
      <c r="I29" s="79">
        <v>283274484.67219722</v>
      </c>
      <c r="J29" s="79">
        <v>294210230.22407901</v>
      </c>
      <c r="K29" s="79">
        <v>305145307.42580718</v>
      </c>
      <c r="L29" s="79">
        <v>316079751.66208351</v>
      </c>
      <c r="M29" s="79">
        <v>327013595.02454066</v>
      </c>
    </row>
    <row r="30" spans="2:13" x14ac:dyDescent="0.25">
      <c r="B30" t="s">
        <v>243</v>
      </c>
      <c r="C30" s="79">
        <v>1080141.8472269773</v>
      </c>
      <c r="D30" s="79">
        <v>1157333.7478038669</v>
      </c>
      <c r="E30" s="79">
        <v>1235515.2301511467</v>
      </c>
      <c r="F30" s="79">
        <v>1314614.5681923628</v>
      </c>
      <c r="G30" s="79">
        <v>1394569.1420638561</v>
      </c>
      <c r="H30" s="79">
        <v>1475323.8198330402</v>
      </c>
      <c r="I30" s="79">
        <v>1556829.7025835514</v>
      </c>
      <c r="J30" s="79">
        <v>1639043.1357017159</v>
      </c>
      <c r="K30" s="79">
        <v>1721924.9189735651</v>
      </c>
      <c r="L30" s="79">
        <v>1805439.6676972508</v>
      </c>
      <c r="M30" s="79">
        <v>1889555.290240109</v>
      </c>
    </row>
    <row r="34" spans="2:19" x14ac:dyDescent="0.25">
      <c r="B34" t="s">
        <v>239</v>
      </c>
      <c r="C34">
        <v>0</v>
      </c>
      <c r="D34">
        <v>2</v>
      </c>
      <c r="E34">
        <v>4</v>
      </c>
      <c r="F34">
        <v>6</v>
      </c>
      <c r="G34">
        <v>8</v>
      </c>
      <c r="H34">
        <v>10</v>
      </c>
      <c r="I34">
        <v>12</v>
      </c>
      <c r="J34">
        <v>14</v>
      </c>
      <c r="K34">
        <v>16</v>
      </c>
      <c r="L34">
        <v>18</v>
      </c>
      <c r="M34">
        <v>20</v>
      </c>
    </row>
    <row r="35" spans="2:19" x14ac:dyDescent="0.25">
      <c r="B35" t="s">
        <v>242</v>
      </c>
      <c r="C35" s="80">
        <v>239685847.29925317</v>
      </c>
      <c r="D35" s="80">
        <v>262795396.40478075</v>
      </c>
      <c r="E35" s="80">
        <v>285904945.51030838</v>
      </c>
      <c r="F35" s="80">
        <v>309014494.61583602</v>
      </c>
      <c r="G35" s="80">
        <v>332124043.72136372</v>
      </c>
      <c r="H35" s="80">
        <v>355233592.8268913</v>
      </c>
      <c r="I35" s="80">
        <v>378343141.93241894</v>
      </c>
      <c r="J35" s="80">
        <v>401452691.03794658</v>
      </c>
      <c r="K35" s="80">
        <v>424562240.14347428</v>
      </c>
      <c r="L35" s="80">
        <v>447671789.24900186</v>
      </c>
      <c r="M35" s="80">
        <v>470781338.35452944</v>
      </c>
    </row>
    <row r="36" spans="2:19" x14ac:dyDescent="0.25">
      <c r="B36" t="s">
        <v>194</v>
      </c>
      <c r="C36" s="80">
        <v>238204665.59437686</v>
      </c>
      <c r="D36" s="80">
        <v>261400827.26271689</v>
      </c>
      <c r="E36" s="80">
        <v>284592878.68520457</v>
      </c>
      <c r="F36" s="80">
        <v>307781587.45806193</v>
      </c>
      <c r="G36" s="80">
        <v>330967448.64141393</v>
      </c>
      <c r="H36" s="80">
        <v>354150817.60610056</v>
      </c>
      <c r="I36" s="80">
        <v>377331966.0220778</v>
      </c>
      <c r="J36" s="80">
        <v>400511110.29899955</v>
      </c>
      <c r="K36" s="80">
        <v>423688427.89450389</v>
      </c>
      <c r="L36" s="80">
        <v>446864067.49404025</v>
      </c>
      <c r="M36" s="80">
        <v>470038155.77426243</v>
      </c>
    </row>
    <row r="37" spans="2:19" x14ac:dyDescent="0.25">
      <c r="B37" t="s">
        <v>243</v>
      </c>
      <c r="C37" s="80">
        <v>1481181.7048763037</v>
      </c>
      <c r="D37" s="80">
        <v>1394569.1420638561</v>
      </c>
      <c r="E37" s="80">
        <v>1312066.8251038194</v>
      </c>
      <c r="F37" s="80">
        <v>1232907.1577740908</v>
      </c>
      <c r="G37" s="80">
        <v>1156595.0799497962</v>
      </c>
      <c r="H37" s="80">
        <v>1082775.2207907438</v>
      </c>
      <c r="I37" s="80">
        <v>1011175.9103411436</v>
      </c>
      <c r="J37" s="80">
        <v>941580.73894703388</v>
      </c>
      <c r="K37" s="80">
        <v>873812.24897038937</v>
      </c>
      <c r="L37" s="80">
        <v>807721.75496160984</v>
      </c>
      <c r="M37" s="80">
        <v>743182.58026701212</v>
      </c>
    </row>
    <row r="43" spans="2:19" x14ac:dyDescent="0.25">
      <c r="B43" t="s">
        <v>240</v>
      </c>
      <c r="C43">
        <v>4</v>
      </c>
      <c r="D43">
        <v>5</v>
      </c>
      <c r="E43">
        <v>6</v>
      </c>
      <c r="F43">
        <v>7</v>
      </c>
      <c r="G43">
        <v>8</v>
      </c>
      <c r="H43">
        <v>9</v>
      </c>
      <c r="I43">
        <v>10</v>
      </c>
      <c r="J43">
        <v>11</v>
      </c>
      <c r="K43">
        <v>12</v>
      </c>
      <c r="L43">
        <v>13</v>
      </c>
      <c r="M43">
        <v>14</v>
      </c>
      <c r="N43">
        <v>15</v>
      </c>
      <c r="O43">
        <v>16</v>
      </c>
      <c r="P43">
        <v>17</v>
      </c>
      <c r="Q43">
        <v>18</v>
      </c>
      <c r="R43">
        <v>19</v>
      </c>
      <c r="S43">
        <v>20</v>
      </c>
    </row>
    <row r="44" spans="2:19" x14ac:dyDescent="0.25">
      <c r="B44" t="s">
        <v>242</v>
      </c>
      <c r="C44" s="79">
        <v>285904945.51030803</v>
      </c>
      <c r="D44" s="79">
        <v>286767894.87459999</v>
      </c>
      <c r="E44" s="79">
        <v>287767894.87459999</v>
      </c>
      <c r="F44" s="79">
        <v>288999461.87459999</v>
      </c>
      <c r="G44" s="79">
        <v>290231028.87459999</v>
      </c>
      <c r="H44" s="79">
        <v>291462595.87459999</v>
      </c>
      <c r="I44" s="79">
        <v>292694162.87459999</v>
      </c>
      <c r="J44" s="79">
        <v>293925729.87459999</v>
      </c>
      <c r="K44" s="79">
        <v>295157296.87459999</v>
      </c>
      <c r="L44" s="79">
        <v>296388863.87459999</v>
      </c>
      <c r="M44" s="79">
        <v>297620430.87459999</v>
      </c>
      <c r="N44" s="79">
        <v>298851997.87459999</v>
      </c>
      <c r="O44" s="79">
        <v>300083564.87459999</v>
      </c>
      <c r="P44" s="79">
        <v>301315131.87459999</v>
      </c>
      <c r="Q44" s="79">
        <v>302546698.87459999</v>
      </c>
      <c r="R44" s="79">
        <v>303778265.87459999</v>
      </c>
      <c r="S44" s="79">
        <v>305009832.87459999</v>
      </c>
    </row>
    <row r="45" spans="2:19" x14ac:dyDescent="0.25">
      <c r="B45" t="s">
        <v>194</v>
      </c>
      <c r="C45" s="79">
        <v>284592878.68520498</v>
      </c>
      <c r="D45" s="79">
        <v>285454786.98760003</v>
      </c>
      <c r="E45" s="79">
        <v>286445445.764</v>
      </c>
      <c r="F45" s="79">
        <v>287577012.764</v>
      </c>
      <c r="G45" s="79">
        <v>288608579.764</v>
      </c>
      <c r="H45" s="79">
        <v>291040146.764</v>
      </c>
      <c r="I45" s="79">
        <v>292171713.764</v>
      </c>
      <c r="J45" s="79">
        <v>293093280.764</v>
      </c>
      <c r="K45" s="79">
        <v>294034847.764</v>
      </c>
      <c r="L45" s="79">
        <v>295006414.764</v>
      </c>
      <c r="M45" s="79">
        <v>296037981.764</v>
      </c>
      <c r="N45" s="79">
        <v>296969548.764</v>
      </c>
      <c r="O45" s="79">
        <v>297931115.764</v>
      </c>
      <c r="P45" s="79">
        <v>300362682.764</v>
      </c>
      <c r="Q45" s="79">
        <v>301494249.764</v>
      </c>
      <c r="R45" s="79">
        <v>302515816.764</v>
      </c>
      <c r="S45" s="79">
        <v>303517383.764</v>
      </c>
    </row>
    <row r="46" spans="2:19" x14ac:dyDescent="0.25">
      <c r="B46" t="s">
        <v>243</v>
      </c>
      <c r="C46" s="79">
        <v>1312066.8251038194</v>
      </c>
      <c r="D46" s="79">
        <f>D44-D45</f>
        <v>1313107.8869999647</v>
      </c>
      <c r="E46" s="79">
        <f t="shared" ref="E46:S46" si="1">E44-E45</f>
        <v>1322449.1105999947</v>
      </c>
      <c r="F46" s="79">
        <f t="shared" si="1"/>
        <v>1422449.1105999947</v>
      </c>
      <c r="G46" s="79">
        <f t="shared" si="1"/>
        <v>1622449.1105999947</v>
      </c>
      <c r="H46" s="79">
        <f t="shared" si="1"/>
        <v>422449.11059999466</v>
      </c>
      <c r="I46" s="79">
        <f t="shared" si="1"/>
        <v>522449.11059999466</v>
      </c>
      <c r="J46" s="79">
        <f t="shared" si="1"/>
        <v>832449.11059999466</v>
      </c>
      <c r="K46" s="79">
        <f t="shared" si="1"/>
        <v>1122449.1105999947</v>
      </c>
      <c r="L46" s="79">
        <f t="shared" si="1"/>
        <v>1382449.1105999947</v>
      </c>
      <c r="M46" s="79">
        <f t="shared" si="1"/>
        <v>1582449.1105999947</v>
      </c>
      <c r="N46" s="79">
        <f t="shared" si="1"/>
        <v>1882449.1105999947</v>
      </c>
      <c r="O46" s="79">
        <f t="shared" si="1"/>
        <v>2152449.1105999947</v>
      </c>
      <c r="P46" s="79">
        <f t="shared" si="1"/>
        <v>952449.11059999466</v>
      </c>
      <c r="Q46" s="79">
        <f t="shared" si="1"/>
        <v>1052449.1105999947</v>
      </c>
      <c r="R46" s="79">
        <f t="shared" si="1"/>
        <v>1262449.1105999947</v>
      </c>
      <c r="S46" s="79">
        <f t="shared" si="1"/>
        <v>1492449.1105999947</v>
      </c>
    </row>
    <row r="52" spans="2:19" x14ac:dyDescent="0.25">
      <c r="B52" t="s">
        <v>241</v>
      </c>
      <c r="C52">
        <v>4</v>
      </c>
      <c r="D52">
        <v>5</v>
      </c>
      <c r="E52">
        <v>6</v>
      </c>
      <c r="F52">
        <v>7</v>
      </c>
      <c r="G52">
        <v>8</v>
      </c>
      <c r="H52">
        <v>9</v>
      </c>
      <c r="I52">
        <v>10</v>
      </c>
      <c r="J52">
        <v>11</v>
      </c>
      <c r="K52">
        <v>12</v>
      </c>
      <c r="L52">
        <v>13</v>
      </c>
      <c r="M52">
        <v>14</v>
      </c>
      <c r="N52">
        <v>15</v>
      </c>
      <c r="O52">
        <v>16</v>
      </c>
      <c r="P52">
        <v>17</v>
      </c>
      <c r="Q52">
        <v>18</v>
      </c>
      <c r="R52">
        <v>19</v>
      </c>
      <c r="S52">
        <v>20</v>
      </c>
    </row>
    <row r="53" spans="2:19" x14ac:dyDescent="0.25">
      <c r="B53" t="s">
        <v>242</v>
      </c>
      <c r="C53" s="79">
        <v>285904945.51030803</v>
      </c>
      <c r="D53" s="79">
        <v>286767894.87459999</v>
      </c>
      <c r="E53" s="79">
        <v>287767894.87459999</v>
      </c>
      <c r="F53" s="79">
        <v>288999461.87459999</v>
      </c>
      <c r="G53" s="79">
        <v>290231028.87459999</v>
      </c>
      <c r="H53" s="79">
        <v>291462595.87459999</v>
      </c>
      <c r="I53" s="79">
        <v>292694162.87459999</v>
      </c>
      <c r="J53" s="79">
        <v>293925729.87459999</v>
      </c>
      <c r="K53" s="79">
        <v>295157296.87459999</v>
      </c>
      <c r="L53" s="79">
        <v>296388863.87459999</v>
      </c>
      <c r="M53" s="79">
        <v>297620430.87459999</v>
      </c>
      <c r="N53" s="79">
        <v>298851997.87459999</v>
      </c>
      <c r="O53" s="79">
        <v>300083564.87459999</v>
      </c>
      <c r="P53" s="79">
        <v>301315131.87459999</v>
      </c>
      <c r="Q53" s="79">
        <v>302546698.87459999</v>
      </c>
      <c r="R53" s="79">
        <v>303778265.87459999</v>
      </c>
      <c r="S53" s="79">
        <v>305009832.87459999</v>
      </c>
    </row>
    <row r="54" spans="2:19" x14ac:dyDescent="0.25">
      <c r="B54" t="s">
        <v>194</v>
      </c>
      <c r="C54" s="79">
        <v>284592878.68520498</v>
      </c>
      <c r="D54" s="79">
        <v>285454786.98760003</v>
      </c>
      <c r="E54" s="79">
        <v>286445445.764</v>
      </c>
      <c r="F54" s="79">
        <v>287577012.764</v>
      </c>
      <c r="G54" s="79">
        <v>288708579.764</v>
      </c>
      <c r="H54" s="79">
        <v>291040146.764</v>
      </c>
      <c r="I54" s="79">
        <v>292171713.764</v>
      </c>
      <c r="J54" s="79">
        <v>293093280.764</v>
      </c>
      <c r="K54" s="79">
        <v>294034847.764</v>
      </c>
      <c r="L54" s="79">
        <v>295006414.764</v>
      </c>
      <c r="M54" s="79">
        <v>296037981.764</v>
      </c>
      <c r="N54" s="79">
        <v>296969548.764</v>
      </c>
      <c r="O54" s="79">
        <v>297981115.764</v>
      </c>
      <c r="P54" s="79">
        <v>300362682.764</v>
      </c>
      <c r="Q54" s="79">
        <v>301494249.764</v>
      </c>
      <c r="R54" s="79">
        <v>302515816.764</v>
      </c>
      <c r="S54" s="79">
        <v>303517383.764</v>
      </c>
    </row>
    <row r="55" spans="2:19" x14ac:dyDescent="0.25">
      <c r="B55" t="s">
        <v>243</v>
      </c>
      <c r="C55" s="79">
        <v>1312066.8251038194</v>
      </c>
      <c r="D55" s="79">
        <f>D53-D54</f>
        <v>1313107.8869999647</v>
      </c>
      <c r="E55" s="79">
        <f t="shared" ref="E55" si="2">E53-E54</f>
        <v>1322449.1105999947</v>
      </c>
      <c r="F55" s="79">
        <f t="shared" ref="F55" si="3">F53-F54</f>
        <v>1422449.1105999947</v>
      </c>
      <c r="G55" s="79">
        <f t="shared" ref="G55" si="4">G53-G54</f>
        <v>1522449.1105999947</v>
      </c>
      <c r="H55" s="79">
        <f t="shared" ref="H55" si="5">H53-H54</f>
        <v>422449.11059999466</v>
      </c>
      <c r="I55" s="79">
        <f t="shared" ref="I55" si="6">I53-I54</f>
        <v>522449.11059999466</v>
      </c>
      <c r="J55" s="79">
        <f t="shared" ref="J55" si="7">J53-J54</f>
        <v>832449.11059999466</v>
      </c>
      <c r="K55" s="79">
        <f t="shared" ref="K55" si="8">K53-K54</f>
        <v>1122449.1105999947</v>
      </c>
      <c r="L55" s="79">
        <f t="shared" ref="L55" si="9">L53-L54</f>
        <v>1382449.1105999947</v>
      </c>
      <c r="M55" s="79">
        <f t="shared" ref="M55" si="10">M53-M54</f>
        <v>1582449.1105999947</v>
      </c>
      <c r="N55" s="79">
        <f t="shared" ref="N55" si="11">N53-N54</f>
        <v>1882449.1105999947</v>
      </c>
      <c r="O55" s="79">
        <f t="shared" ref="O55" si="12">O53-O54</f>
        <v>2102449.1105999947</v>
      </c>
      <c r="P55" s="79">
        <f t="shared" ref="P55" si="13">P53-P54</f>
        <v>952449.11059999466</v>
      </c>
      <c r="Q55" s="79">
        <f t="shared" ref="Q55" si="14">Q53-Q54</f>
        <v>1052449.1105999947</v>
      </c>
      <c r="R55" s="79">
        <f t="shared" ref="R55" si="15">R53-R54</f>
        <v>1262449.1105999947</v>
      </c>
      <c r="S55" s="79">
        <f t="shared" ref="S55" si="16">S53-S54</f>
        <v>1492449.1105999947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Tipologia</vt:lpstr>
      <vt:lpstr>Foglio1</vt:lpstr>
      <vt:lpstr>Costi operativi diretti</vt:lpstr>
      <vt:lpstr>Costi opertivi indiretti </vt:lpstr>
      <vt:lpstr>Parametrico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Salinaro  Gaia</dc:creator>
  <cp:lastModifiedBy>Luca</cp:lastModifiedBy>
  <dcterms:created xsi:type="dcterms:W3CDTF">2024-01-25T14:46:29Z</dcterms:created>
  <dcterms:modified xsi:type="dcterms:W3CDTF">2024-10-21T08:35:54Z</dcterms:modified>
</cp:coreProperties>
</file>